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0" yWindow="1365" windowWidth="15360" windowHeight="8775" activeTab="1"/>
  </bookViews>
  <sheets>
    <sheet name="PSE" sheetId="1" r:id="rId1"/>
    <sheet name="Tabelle1" sheetId="2" r:id="rId2"/>
    <sheet name="abc" sheetId="3" r:id="rId3"/>
    <sheet name="Isotope" sheetId="4" r:id="rId4"/>
  </sheets>
  <definedNames>
    <definedName name="_xlnm.Print_Area" localSheetId="2">abc!$A$1:$K$59</definedName>
    <definedName name="Print_Area" localSheetId="2">abc!$A$1:$K$58</definedName>
    <definedName name="Print_Area" localSheetId="1">Tabelle1!$A$1:$AL$49</definedName>
    <definedName name="TABLE" localSheetId="2">abc!#REF!</definedName>
    <definedName name="TABLE" localSheetId="0">PSE!$H$2:$H$113</definedName>
  </definedNames>
  <calcPr calcId="125725"/>
</workbook>
</file>

<file path=xl/calcChain.xml><?xml version="1.0" encoding="utf-8"?>
<calcChain xmlns="http://schemas.openxmlformats.org/spreadsheetml/2006/main">
  <c r="A49" i="2"/>
  <c r="G2" i="4"/>
  <c r="N2"/>
  <c r="G3"/>
  <c r="H3"/>
  <c r="I3"/>
  <c r="N3" s="1"/>
  <c r="G4"/>
  <c r="H4"/>
  <c r="I4" s="1"/>
  <c r="N4" s="1"/>
  <c r="G5"/>
  <c r="H5"/>
  <c r="I5" s="1"/>
  <c r="N5" s="1"/>
  <c r="N6"/>
  <c r="N7"/>
  <c r="G8"/>
  <c r="H8"/>
  <c r="I8" s="1"/>
  <c r="N8" s="1"/>
  <c r="G9"/>
  <c r="H9"/>
  <c r="I9" s="1"/>
  <c r="N9" s="1"/>
  <c r="N10"/>
  <c r="N11"/>
  <c r="G12"/>
  <c r="H12"/>
  <c r="I12" s="1"/>
  <c r="N12" s="1"/>
  <c r="G13"/>
  <c r="H13"/>
  <c r="I13" s="1"/>
  <c r="N13" s="1"/>
  <c r="N14"/>
  <c r="N15"/>
  <c r="G16"/>
  <c r="H16"/>
  <c r="I16" s="1"/>
  <c r="N16" s="1"/>
  <c r="G17"/>
  <c r="H17"/>
  <c r="I17" s="1"/>
  <c r="N17" s="1"/>
  <c r="N18"/>
  <c r="N19"/>
  <c r="G20"/>
  <c r="H20"/>
  <c r="I20" s="1"/>
  <c r="N20" s="1"/>
  <c r="G21"/>
  <c r="H21"/>
  <c r="I21" s="1"/>
  <c r="N21" s="1"/>
  <c r="N22"/>
  <c r="N23"/>
  <c r="G24"/>
  <c r="H24"/>
  <c r="I24" s="1"/>
  <c r="N24" s="1"/>
  <c r="G25"/>
  <c r="H25"/>
  <c r="I25" s="1"/>
  <c r="N25" s="1"/>
  <c r="G26"/>
  <c r="H26"/>
  <c r="I26" s="1"/>
  <c r="N26" s="1"/>
  <c r="N27"/>
  <c r="N28"/>
  <c r="G29"/>
  <c r="H29"/>
  <c r="I29" s="1"/>
  <c r="N29" s="1"/>
  <c r="G30"/>
  <c r="H30"/>
  <c r="I30" s="1"/>
  <c r="N30" s="1"/>
  <c r="N31"/>
  <c r="N32"/>
  <c r="G33"/>
  <c r="H33"/>
  <c r="I33" s="1"/>
  <c r="N33" s="1"/>
  <c r="G34"/>
  <c r="H34"/>
  <c r="I34" s="1"/>
  <c r="N34" s="1"/>
  <c r="G35"/>
  <c r="H35"/>
  <c r="I35" s="1"/>
  <c r="N35" s="1"/>
  <c r="N36"/>
  <c r="N37"/>
  <c r="G38"/>
  <c r="H38"/>
  <c r="I38" s="1"/>
  <c r="N38" s="1"/>
  <c r="N39"/>
  <c r="N40"/>
  <c r="G41"/>
  <c r="H41"/>
  <c r="I41" s="1"/>
  <c r="N41" s="1"/>
  <c r="G42"/>
  <c r="H42"/>
  <c r="I42" s="1"/>
  <c r="N42" s="1"/>
  <c r="G43"/>
  <c r="H43"/>
  <c r="I43" s="1"/>
  <c r="N43" s="1"/>
  <c r="N44"/>
  <c r="N45"/>
  <c r="G46"/>
  <c r="H46"/>
  <c r="I46" s="1"/>
  <c r="N46" s="1"/>
  <c r="G47"/>
  <c r="H47"/>
  <c r="I47" s="1"/>
  <c r="N47" s="1"/>
  <c r="N48"/>
  <c r="N49"/>
  <c r="G50"/>
  <c r="H50"/>
  <c r="I50" s="1"/>
  <c r="N50" s="1"/>
  <c r="G51"/>
  <c r="H51"/>
  <c r="I51" s="1"/>
  <c r="N51" s="1"/>
  <c r="G52"/>
  <c r="H52"/>
  <c r="I52" s="1"/>
  <c r="N52" s="1"/>
  <c r="N53"/>
  <c r="N54"/>
  <c r="G55"/>
  <c r="H55"/>
  <c r="I55" s="1"/>
  <c r="N55" s="1"/>
  <c r="N56"/>
  <c r="N57"/>
  <c r="G58"/>
  <c r="H58"/>
  <c r="I58" s="1"/>
  <c r="N58" s="1"/>
  <c r="G59"/>
  <c r="H59"/>
  <c r="I59" s="1"/>
  <c r="N59" s="1"/>
  <c r="G60"/>
  <c r="H60"/>
  <c r="I60" s="1"/>
  <c r="N60" s="1"/>
  <c r="N61"/>
  <c r="N62"/>
  <c r="G63"/>
  <c r="H63"/>
  <c r="I63" s="1"/>
  <c r="N63" s="1"/>
  <c r="N64"/>
  <c r="N65"/>
  <c r="G66"/>
  <c r="H66"/>
  <c r="I66" s="1"/>
  <c r="N66" s="1"/>
  <c r="G67"/>
  <c r="H67"/>
  <c r="I67" s="1"/>
  <c r="N67" s="1"/>
  <c r="G68"/>
  <c r="H68"/>
  <c r="I68" s="1"/>
  <c r="N68" s="1"/>
  <c r="G69"/>
  <c r="H69"/>
  <c r="I69" s="1"/>
  <c r="N69" s="1"/>
  <c r="N70"/>
  <c r="N71"/>
  <c r="G72"/>
  <c r="H72"/>
  <c r="I72" s="1"/>
  <c r="N72" s="1"/>
  <c r="G73"/>
  <c r="H73"/>
  <c r="I73" s="1"/>
  <c r="N73" s="1"/>
  <c r="N74"/>
  <c r="N75"/>
  <c r="G76"/>
  <c r="H76"/>
  <c r="I76" s="1"/>
  <c r="N76" s="1"/>
  <c r="G77"/>
  <c r="H77"/>
  <c r="I77" s="1"/>
  <c r="N77" s="1"/>
  <c r="G78"/>
  <c r="H78"/>
  <c r="I78" s="1"/>
  <c r="N78" s="1"/>
  <c r="N79"/>
  <c r="N80"/>
  <c r="G81"/>
  <c r="H81"/>
  <c r="I81" s="1"/>
  <c r="N81" s="1"/>
  <c r="G82"/>
  <c r="H82"/>
  <c r="I82" s="1"/>
  <c r="N82" s="1"/>
  <c r="G83"/>
  <c r="H83"/>
  <c r="I83" s="1"/>
  <c r="N83" s="1"/>
  <c r="N84"/>
  <c r="N85"/>
  <c r="G86"/>
  <c r="H86"/>
  <c r="I86" s="1"/>
  <c r="N86" s="1"/>
  <c r="G87"/>
  <c r="H87"/>
  <c r="I87" s="1"/>
  <c r="N87" s="1"/>
  <c r="G88"/>
  <c r="H88"/>
  <c r="I88" s="1"/>
  <c r="N88" s="1"/>
  <c r="G89"/>
  <c r="H89"/>
  <c r="I89" s="1"/>
  <c r="N89" s="1"/>
  <c r="G90"/>
  <c r="H90"/>
  <c r="I90" s="1"/>
  <c r="N90" s="1"/>
  <c r="G91"/>
  <c r="H91"/>
  <c r="I91" s="1"/>
  <c r="N91" s="1"/>
  <c r="N92"/>
  <c r="N93"/>
  <c r="G94"/>
  <c r="H94"/>
  <c r="I94" s="1"/>
  <c r="N94" s="1"/>
  <c r="N95"/>
  <c r="N96"/>
  <c r="G97"/>
  <c r="H97"/>
  <c r="I97" s="1"/>
  <c r="N97" s="1"/>
  <c r="G98"/>
  <c r="H98"/>
  <c r="I98" s="1"/>
  <c r="N98" s="1"/>
  <c r="G99"/>
  <c r="H99"/>
  <c r="I99" s="1"/>
  <c r="N99" s="1"/>
  <c r="G100"/>
  <c r="H100"/>
  <c r="I100" s="1"/>
  <c r="N100" s="1"/>
  <c r="G101"/>
  <c r="H101"/>
  <c r="I101" s="1"/>
  <c r="N101" s="1"/>
  <c r="N102"/>
  <c r="N103"/>
  <c r="G104"/>
  <c r="H104"/>
  <c r="I104" s="1"/>
  <c r="N104" s="1"/>
  <c r="G105"/>
  <c r="H105"/>
  <c r="I105" s="1"/>
  <c r="N105" s="1"/>
  <c r="N106"/>
  <c r="N107"/>
  <c r="G108"/>
  <c r="H108"/>
  <c r="I108" s="1"/>
  <c r="N108" s="1"/>
  <c r="G109"/>
  <c r="H109"/>
  <c r="I109" s="1"/>
  <c r="N109" s="1"/>
  <c r="G110"/>
  <c r="H110"/>
  <c r="I110" s="1"/>
  <c r="N110" s="1"/>
  <c r="G111"/>
  <c r="H111"/>
  <c r="I111" s="1"/>
  <c r="N111" s="1"/>
  <c r="N112"/>
  <c r="N113"/>
  <c r="G114"/>
  <c r="H114"/>
  <c r="I114" s="1"/>
  <c r="N114" s="1"/>
  <c r="N115"/>
  <c r="N116"/>
  <c r="G117"/>
  <c r="H117"/>
  <c r="I117" s="1"/>
  <c r="N117" s="1"/>
  <c r="G118"/>
  <c r="H118"/>
  <c r="I118" s="1"/>
  <c r="N118" s="1"/>
  <c r="G119"/>
  <c r="H119"/>
  <c r="I119" s="1"/>
  <c r="N119" s="1"/>
  <c r="G120"/>
  <c r="H120"/>
  <c r="I120" s="1"/>
  <c r="N120" s="1"/>
  <c r="N121"/>
  <c r="N122"/>
  <c r="G123"/>
  <c r="H123"/>
  <c r="I123" s="1"/>
  <c r="N123" s="1"/>
  <c r="G124"/>
  <c r="H124"/>
  <c r="I124" s="1"/>
  <c r="N124" s="1"/>
  <c r="N125"/>
  <c r="N126"/>
  <c r="G127"/>
  <c r="H127"/>
  <c r="I127" s="1"/>
  <c r="N127" s="1"/>
  <c r="G128"/>
  <c r="H128"/>
  <c r="I128" s="1"/>
  <c r="N128" s="1"/>
  <c r="G129"/>
  <c r="H129"/>
  <c r="I129" s="1"/>
  <c r="N129" s="1"/>
  <c r="G130"/>
  <c r="H130"/>
  <c r="I130" s="1"/>
  <c r="N130" s="1"/>
  <c r="G131"/>
  <c r="H131"/>
  <c r="I131" s="1"/>
  <c r="N131" s="1"/>
  <c r="N132"/>
  <c r="N133"/>
  <c r="G134"/>
  <c r="H134"/>
  <c r="I134" s="1"/>
  <c r="N134" s="1"/>
  <c r="G135"/>
  <c r="H135"/>
  <c r="I135" s="1"/>
  <c r="N135" s="1"/>
  <c r="N136"/>
  <c r="N137"/>
  <c r="G138"/>
  <c r="H138"/>
  <c r="I138" s="1"/>
  <c r="N138" s="1"/>
  <c r="G139"/>
  <c r="H139"/>
  <c r="I139" s="1"/>
  <c r="N139" s="1"/>
  <c r="G140"/>
  <c r="H140"/>
  <c r="I140" s="1"/>
  <c r="N140" s="1"/>
  <c r="G141"/>
  <c r="H141"/>
  <c r="I141" s="1"/>
  <c r="N141" s="1"/>
  <c r="G142"/>
  <c r="H142"/>
  <c r="I142" s="1"/>
  <c r="N142" s="1"/>
  <c r="N143"/>
  <c r="N144"/>
  <c r="G145"/>
  <c r="H145"/>
  <c r="I145" s="1"/>
  <c r="N145" s="1"/>
  <c r="G146"/>
  <c r="H146"/>
  <c r="I146" s="1"/>
  <c r="N146" s="1"/>
  <c r="N147"/>
  <c r="N148"/>
  <c r="G149"/>
  <c r="H149"/>
  <c r="I149" s="1"/>
  <c r="N149" s="1"/>
  <c r="G150"/>
  <c r="H150"/>
  <c r="I150" s="1"/>
  <c r="N150" s="1"/>
  <c r="G151"/>
  <c r="H151"/>
  <c r="I151" s="1"/>
  <c r="N151" s="1"/>
  <c r="G152"/>
  <c r="H152"/>
  <c r="I152" s="1"/>
  <c r="N152" s="1"/>
  <c r="G153"/>
  <c r="H153"/>
  <c r="I153" s="1"/>
  <c r="N153" s="1"/>
  <c r="N154"/>
  <c r="N155"/>
  <c r="G156"/>
  <c r="H156"/>
  <c r="I156" s="1"/>
  <c r="N156" s="1"/>
  <c r="N157"/>
  <c r="N158"/>
  <c r="G159"/>
  <c r="H159"/>
  <c r="I159" s="1"/>
  <c r="N159" s="1"/>
  <c r="G160"/>
  <c r="H160"/>
  <c r="I160" s="1"/>
  <c r="N160" s="1"/>
  <c r="G161"/>
  <c r="H161"/>
  <c r="I161" s="1"/>
  <c r="N161" s="1"/>
  <c r="G162"/>
  <c r="H162"/>
  <c r="I162" s="1"/>
  <c r="N162" s="1"/>
  <c r="G163"/>
  <c r="H163"/>
  <c r="I163" s="1"/>
  <c r="N163" s="1"/>
  <c r="G164"/>
  <c r="H164"/>
  <c r="I164" s="1"/>
  <c r="N164" s="1"/>
  <c r="N165"/>
  <c r="N166"/>
  <c r="G167"/>
  <c r="H167"/>
  <c r="I167" s="1"/>
  <c r="N167" s="1"/>
  <c r="G168"/>
  <c r="H168"/>
  <c r="I168" s="1"/>
  <c r="N168" s="1"/>
  <c r="N169"/>
  <c r="N170"/>
  <c r="G171"/>
  <c r="H171"/>
  <c r="I171" s="1"/>
  <c r="N171" s="1"/>
  <c r="G172"/>
  <c r="H172"/>
  <c r="I172" s="1"/>
  <c r="N172" s="1"/>
  <c r="G173"/>
  <c r="H173"/>
  <c r="I173" s="1"/>
  <c r="N173" s="1"/>
  <c r="G174"/>
  <c r="H174"/>
  <c r="I174" s="1"/>
  <c r="N174" s="1"/>
  <c r="G175"/>
  <c r="H175"/>
  <c r="I175" s="1"/>
  <c r="N175" s="1"/>
  <c r="G176"/>
  <c r="H176"/>
  <c r="I176" s="1"/>
  <c r="N176" s="1"/>
  <c r="N177"/>
  <c r="N178"/>
  <c r="G179"/>
  <c r="H179"/>
  <c r="I179" s="1"/>
  <c r="N179" s="1"/>
  <c r="G180"/>
  <c r="H180"/>
  <c r="I180" s="1"/>
  <c r="N180" s="1"/>
  <c r="N181"/>
  <c r="N182"/>
  <c r="G183"/>
  <c r="H183"/>
  <c r="I183" s="1"/>
  <c r="N183" s="1"/>
  <c r="G184"/>
  <c r="H184"/>
  <c r="I184" s="1"/>
  <c r="N184" s="1"/>
  <c r="G185"/>
  <c r="H185"/>
  <c r="I185" s="1"/>
  <c r="N185" s="1"/>
  <c r="G186"/>
  <c r="H186"/>
  <c r="I186" s="1"/>
  <c r="N186" s="1"/>
  <c r="G187"/>
  <c r="H187"/>
  <c r="I187" s="1"/>
  <c r="N187" s="1"/>
  <c r="N188"/>
  <c r="N189"/>
  <c r="G190"/>
  <c r="H190"/>
  <c r="I190" s="1"/>
  <c r="N190" s="1"/>
  <c r="N191"/>
  <c r="N192"/>
  <c r="G193"/>
  <c r="H193"/>
  <c r="I193" s="1"/>
  <c r="N193" s="1"/>
  <c r="G194"/>
  <c r="H194"/>
  <c r="I194" s="1"/>
  <c r="N194" s="1"/>
  <c r="G195"/>
  <c r="H195"/>
  <c r="I195" s="1"/>
  <c r="N195" s="1"/>
  <c r="G196"/>
  <c r="H196"/>
  <c r="I196" s="1"/>
  <c r="N196" s="1"/>
  <c r="G197"/>
  <c r="H197"/>
  <c r="I197" s="1"/>
  <c r="N197" s="1"/>
  <c r="N198"/>
  <c r="N199"/>
  <c r="G200"/>
  <c r="H200"/>
  <c r="I200" s="1"/>
  <c r="N200" s="1"/>
  <c r="N201"/>
  <c r="N202"/>
  <c r="G203"/>
  <c r="H203"/>
  <c r="I203" s="1"/>
  <c r="N203" s="1"/>
  <c r="G204"/>
  <c r="H204"/>
  <c r="I204" s="1"/>
  <c r="N204" s="1"/>
  <c r="G205"/>
  <c r="H205"/>
  <c r="I205" s="1"/>
  <c r="N205" s="1"/>
  <c r="G206"/>
  <c r="H206"/>
  <c r="I206" s="1"/>
  <c r="N206" s="1"/>
  <c r="G207"/>
  <c r="H207"/>
  <c r="I207" s="1"/>
  <c r="N207" s="1"/>
  <c r="G208"/>
  <c r="H208"/>
  <c r="I208" s="1"/>
  <c r="N208" s="1"/>
  <c r="G209"/>
  <c r="H209"/>
  <c r="I209" s="1"/>
  <c r="N209" s="1"/>
  <c r="N210"/>
  <c r="N211"/>
  <c r="G212"/>
  <c r="H212"/>
  <c r="I212" s="1"/>
  <c r="N212" s="1"/>
  <c r="G213"/>
  <c r="H213"/>
  <c r="I213" s="1"/>
  <c r="N213" s="1"/>
  <c r="N214"/>
  <c r="N215"/>
  <c r="G216"/>
  <c r="H216"/>
  <c r="I216" s="1"/>
  <c r="N216" s="1"/>
  <c r="G217"/>
  <c r="H217"/>
  <c r="I217" s="1"/>
  <c r="N217" s="1"/>
  <c r="G218"/>
  <c r="H218"/>
  <c r="I218" s="1"/>
  <c r="N218" s="1"/>
  <c r="G219"/>
  <c r="H219"/>
  <c r="I219" s="1"/>
  <c r="N219" s="1"/>
  <c r="G220"/>
  <c r="H220"/>
  <c r="I220" s="1"/>
  <c r="N220" s="1"/>
  <c r="G221"/>
  <c r="H221"/>
  <c r="I221" s="1"/>
  <c r="N221" s="1"/>
  <c r="G222"/>
  <c r="H222"/>
  <c r="I222" s="1"/>
  <c r="N222" s="1"/>
  <c r="N223"/>
  <c r="N224"/>
  <c r="G225"/>
  <c r="H225"/>
  <c r="I225" s="1"/>
  <c r="N225" s="1"/>
  <c r="N226"/>
  <c r="N227"/>
  <c r="G228"/>
  <c r="H228"/>
  <c r="I228" s="1"/>
  <c r="N228" s="1"/>
  <c r="G229"/>
  <c r="H229"/>
  <c r="I229" s="1"/>
  <c r="N229" s="1"/>
  <c r="G230"/>
  <c r="H230"/>
  <c r="I230" s="1"/>
  <c r="N230" s="1"/>
  <c r="G231"/>
  <c r="H231"/>
  <c r="I231" s="1"/>
  <c r="N231" s="1"/>
  <c r="G232"/>
  <c r="H232"/>
  <c r="I232" s="1"/>
  <c r="N232" s="1"/>
  <c r="G233"/>
  <c r="H233"/>
  <c r="I233" s="1"/>
  <c r="N233" s="1"/>
  <c r="N234"/>
  <c r="N235"/>
  <c r="G236"/>
  <c r="H236"/>
  <c r="I236" s="1"/>
  <c r="N236" s="1"/>
  <c r="G237"/>
  <c r="H237"/>
  <c r="I237" s="1"/>
  <c r="N237" s="1"/>
  <c r="N238"/>
  <c r="N239"/>
  <c r="G240"/>
  <c r="H240"/>
  <c r="I240" s="1"/>
  <c r="N240" s="1"/>
  <c r="G241"/>
  <c r="H241"/>
  <c r="I241" s="1"/>
  <c r="N241" s="1"/>
  <c r="G242"/>
  <c r="H242"/>
  <c r="I242" s="1"/>
  <c r="N242" s="1"/>
  <c r="G243"/>
  <c r="H243"/>
  <c r="I243" s="1"/>
  <c r="N243" s="1"/>
  <c r="G244"/>
  <c r="H244"/>
  <c r="I244" s="1"/>
  <c r="N244" s="1"/>
  <c r="G245"/>
  <c r="H245"/>
  <c r="I245" s="1"/>
  <c r="N245" s="1"/>
  <c r="G246"/>
  <c r="H246"/>
  <c r="I246" s="1"/>
  <c r="N246" s="1"/>
  <c r="G247"/>
  <c r="H247"/>
  <c r="I247" s="1"/>
  <c r="N247" s="1"/>
  <c r="N248"/>
  <c r="N249"/>
  <c r="G250"/>
  <c r="H250"/>
  <c r="I250" s="1"/>
  <c r="N250" s="1"/>
  <c r="G251"/>
  <c r="H251"/>
  <c r="I251" s="1"/>
  <c r="N251" s="1"/>
  <c r="N252"/>
  <c r="N253"/>
  <c r="G254"/>
  <c r="H254"/>
  <c r="I254" s="1"/>
  <c r="N254" s="1"/>
  <c r="G255"/>
  <c r="H255"/>
  <c r="I255" s="1"/>
  <c r="N255" s="1"/>
  <c r="G256"/>
  <c r="H256"/>
  <c r="I256" s="1"/>
  <c r="N256" s="1"/>
  <c r="G257"/>
  <c r="H257"/>
  <c r="I257" s="1"/>
  <c r="N257" s="1"/>
  <c r="G258"/>
  <c r="H258"/>
  <c r="I258" s="1"/>
  <c r="N258" s="1"/>
  <c r="G259"/>
  <c r="H259"/>
  <c r="I259" s="1"/>
  <c r="N259" s="1"/>
  <c r="G260"/>
  <c r="H260"/>
  <c r="I260" s="1"/>
  <c r="N260" s="1"/>
  <c r="G261"/>
  <c r="H261"/>
  <c r="I261" s="1"/>
  <c r="N261" s="1"/>
  <c r="G262"/>
  <c r="H262"/>
  <c r="I262" s="1"/>
  <c r="N262" s="1"/>
  <c r="G263"/>
  <c r="H263"/>
  <c r="I263" s="1"/>
  <c r="N263" s="1"/>
  <c r="N264"/>
  <c r="N265"/>
  <c r="G266"/>
  <c r="H266"/>
  <c r="I266" s="1"/>
  <c r="N266" s="1"/>
  <c r="G267"/>
  <c r="H267"/>
  <c r="I267" s="1"/>
  <c r="N267" s="1"/>
  <c r="N268"/>
  <c r="N269"/>
  <c r="G270"/>
  <c r="H270"/>
  <c r="I270" s="1"/>
  <c r="N270" s="1"/>
  <c r="G271"/>
  <c r="H271"/>
  <c r="I271" s="1"/>
  <c r="N271" s="1"/>
  <c r="G272"/>
  <c r="H272"/>
  <c r="I272" s="1"/>
  <c r="N272" s="1"/>
  <c r="G273"/>
  <c r="H273"/>
  <c r="I273" s="1"/>
  <c r="N273" s="1"/>
  <c r="G274"/>
  <c r="H274"/>
  <c r="I274" s="1"/>
  <c r="N274" s="1"/>
  <c r="G275"/>
  <c r="H275"/>
  <c r="I275" s="1"/>
  <c r="N275" s="1"/>
  <c r="G276"/>
  <c r="H276"/>
  <c r="I276" s="1"/>
  <c r="N276" s="1"/>
  <c r="G277"/>
  <c r="H277"/>
  <c r="I277" s="1"/>
  <c r="N277" s="1"/>
  <c r="N278"/>
  <c r="N279"/>
  <c r="G280"/>
  <c r="H280"/>
  <c r="I280" s="1"/>
  <c r="N280" s="1"/>
  <c r="G281"/>
  <c r="H281"/>
  <c r="I281" s="1"/>
  <c r="N281" s="1"/>
  <c r="G282"/>
  <c r="H282"/>
  <c r="I282" s="1"/>
  <c r="N282" s="1"/>
  <c r="N283"/>
  <c r="N284"/>
  <c r="G285"/>
  <c r="H285"/>
  <c r="I285" s="1"/>
  <c r="N285" s="1"/>
  <c r="G286"/>
  <c r="H286"/>
  <c r="I286" s="1"/>
  <c r="N286" s="1"/>
  <c r="G287"/>
  <c r="H287"/>
  <c r="I287" s="1"/>
  <c r="N287" s="1"/>
  <c r="G288"/>
  <c r="H288"/>
  <c r="I288" s="1"/>
  <c r="N288" s="1"/>
  <c r="G289"/>
  <c r="H289"/>
  <c r="I289" s="1"/>
  <c r="N289" s="1"/>
  <c r="G290"/>
  <c r="H290"/>
  <c r="I290" s="1"/>
  <c r="N290" s="1"/>
  <c r="G291"/>
  <c r="H291"/>
  <c r="I291" s="1"/>
  <c r="N291" s="1"/>
  <c r="G292"/>
  <c r="H292"/>
  <c r="I292" s="1"/>
  <c r="N292" s="1"/>
  <c r="G293"/>
  <c r="H293"/>
  <c r="I293" s="1"/>
  <c r="N293" s="1"/>
  <c r="N294"/>
  <c r="N295"/>
  <c r="G296"/>
  <c r="H296"/>
  <c r="I296" s="1"/>
  <c r="N296" s="1"/>
  <c r="G297"/>
  <c r="H297"/>
  <c r="I297" s="1"/>
  <c r="N297" s="1"/>
  <c r="G298"/>
  <c r="H298"/>
  <c r="I298" s="1"/>
  <c r="N298" s="1"/>
  <c r="N299"/>
  <c r="N300"/>
  <c r="G301"/>
  <c r="H301"/>
  <c r="I301" s="1"/>
  <c r="N301" s="1"/>
  <c r="G302"/>
  <c r="H302"/>
  <c r="I302" s="1"/>
  <c r="N302" s="1"/>
  <c r="G303"/>
  <c r="H303"/>
  <c r="I303" s="1"/>
  <c r="N303" s="1"/>
  <c r="G304"/>
  <c r="H304"/>
  <c r="I304" s="1"/>
  <c r="N304" s="1"/>
  <c r="G305"/>
  <c r="H305"/>
  <c r="I305" s="1"/>
  <c r="N305" s="1"/>
  <c r="G306"/>
  <c r="H306"/>
  <c r="I306" s="1"/>
  <c r="N306" s="1"/>
  <c r="G307"/>
  <c r="H307"/>
  <c r="I307" s="1"/>
  <c r="N307" s="1"/>
  <c r="N308"/>
  <c r="N309"/>
  <c r="G310"/>
  <c r="H310"/>
  <c r="I310" s="1"/>
  <c r="N310" s="1"/>
  <c r="G311"/>
  <c r="H311"/>
  <c r="I311" s="1"/>
  <c r="N311" s="1"/>
  <c r="N312"/>
  <c r="N313"/>
  <c r="G314"/>
  <c r="H314"/>
  <c r="I314" s="1"/>
  <c r="N314" s="1"/>
  <c r="G315"/>
  <c r="H315"/>
  <c r="I315" s="1"/>
  <c r="N315" s="1"/>
  <c r="G316"/>
  <c r="H316"/>
  <c r="I316" s="1"/>
  <c r="N316" s="1"/>
  <c r="G317"/>
  <c r="H317"/>
  <c r="I317" s="1"/>
  <c r="N317" s="1"/>
  <c r="N318"/>
  <c r="N319"/>
  <c r="G320"/>
  <c r="H320"/>
  <c r="I320" s="1"/>
  <c r="N320" s="1"/>
  <c r="N321"/>
  <c r="N322"/>
  <c r="G323"/>
  <c r="H323"/>
  <c r="I323" s="1"/>
  <c r="N323" s="1"/>
  <c r="G324"/>
  <c r="H324"/>
  <c r="I324" s="1"/>
  <c r="N324" s="1"/>
  <c r="G325"/>
  <c r="H325"/>
  <c r="I325" s="1"/>
  <c r="N325" s="1"/>
  <c r="G326"/>
  <c r="H326"/>
  <c r="I326" s="1"/>
  <c r="N326" s="1"/>
  <c r="G327"/>
  <c r="H327"/>
  <c r="I327" s="1"/>
  <c r="N327" s="1"/>
  <c r="G328"/>
  <c r="H328"/>
  <c r="I328" s="1"/>
  <c r="N328" s="1"/>
  <c r="G329"/>
  <c r="H329"/>
  <c r="I329" s="1"/>
  <c r="N329" s="1"/>
  <c r="N330"/>
  <c r="N331"/>
  <c r="G332"/>
  <c r="H332"/>
  <c r="I332" s="1"/>
  <c r="N332" s="1"/>
  <c r="N333"/>
  <c r="N334"/>
  <c r="G335"/>
  <c r="H335"/>
  <c r="I335" s="1"/>
  <c r="N335" s="1"/>
  <c r="G336"/>
  <c r="H336"/>
  <c r="I336" s="1"/>
  <c r="N336" s="1"/>
  <c r="G337"/>
  <c r="H337"/>
  <c r="I337" s="1"/>
  <c r="N337" s="1"/>
  <c r="G338"/>
  <c r="H338"/>
  <c r="I338" s="1"/>
  <c r="N338" s="1"/>
  <c r="G339"/>
  <c r="H339"/>
  <c r="I339" s="1"/>
  <c r="N339" s="1"/>
  <c r="G340"/>
  <c r="H340"/>
  <c r="I340" s="1"/>
  <c r="N340" s="1"/>
  <c r="G341"/>
  <c r="H341"/>
  <c r="I341" s="1"/>
  <c r="N341" s="1"/>
  <c r="N342"/>
  <c r="N343"/>
  <c r="G344"/>
  <c r="H344"/>
  <c r="G345"/>
  <c r="H345"/>
  <c r="N346"/>
  <c r="N347"/>
  <c r="G348"/>
  <c r="H348"/>
  <c r="I348" s="1"/>
  <c r="N348" s="1"/>
  <c r="G349"/>
  <c r="H349"/>
  <c r="I349" s="1"/>
  <c r="N349" s="1"/>
  <c r="G350"/>
  <c r="H350"/>
  <c r="G351"/>
  <c r="H351"/>
  <c r="G352"/>
  <c r="H352"/>
  <c r="I352" s="1"/>
  <c r="N352" s="1"/>
  <c r="G353"/>
  <c r="H353"/>
  <c r="I353" s="1"/>
  <c r="N353" s="1"/>
  <c r="G354"/>
  <c r="H354"/>
  <c r="N355"/>
  <c r="N356"/>
  <c r="G357"/>
  <c r="H357"/>
  <c r="N358"/>
  <c r="N359"/>
  <c r="G360"/>
  <c r="H360"/>
  <c r="I360" s="1"/>
  <c r="N360" s="1"/>
  <c r="G361"/>
  <c r="H361"/>
  <c r="I361" s="1"/>
  <c r="N361" s="1"/>
  <c r="G362"/>
  <c r="H362"/>
  <c r="G363"/>
  <c r="H363"/>
  <c r="G364"/>
  <c r="H364"/>
  <c r="I364" s="1"/>
  <c r="N364" s="1"/>
  <c r="G365"/>
  <c r="H365"/>
  <c r="I365" s="1"/>
  <c r="N365" s="1"/>
  <c r="G366"/>
  <c r="H366"/>
  <c r="N367"/>
  <c r="N368"/>
  <c r="G369"/>
  <c r="H369"/>
  <c r="N370"/>
  <c r="N371"/>
  <c r="G372"/>
  <c r="H372"/>
  <c r="I372" s="1"/>
  <c r="N372" s="1"/>
  <c r="G373"/>
  <c r="H373"/>
  <c r="I373" s="1"/>
  <c r="N373" s="1"/>
  <c r="G374"/>
  <c r="H374"/>
  <c r="G375"/>
  <c r="H375"/>
  <c r="G376"/>
  <c r="H376"/>
  <c r="I376" s="1"/>
  <c r="N376" s="1"/>
  <c r="G377"/>
  <c r="H377"/>
  <c r="I377" s="1"/>
  <c r="N377" s="1"/>
  <c r="N378"/>
  <c r="N379"/>
  <c r="G380"/>
  <c r="H380"/>
  <c r="N381"/>
  <c r="N382"/>
  <c r="G383"/>
  <c r="H383"/>
  <c r="G384"/>
  <c r="H384"/>
  <c r="I384" s="1"/>
  <c r="N384" s="1"/>
  <c r="G385"/>
  <c r="H385"/>
  <c r="I385" s="1"/>
  <c r="N385" s="1"/>
  <c r="G386"/>
  <c r="H386"/>
  <c r="G387"/>
  <c r="H387"/>
  <c r="G388"/>
  <c r="H388"/>
  <c r="I388" s="1"/>
  <c r="N388" s="1"/>
  <c r="G389"/>
  <c r="H389"/>
  <c r="I389" s="1"/>
  <c r="N389" s="1"/>
  <c r="N390"/>
  <c r="N391"/>
  <c r="G392"/>
  <c r="H392"/>
  <c r="G393"/>
  <c r="H393"/>
  <c r="N394"/>
  <c r="N395"/>
  <c r="G396"/>
  <c r="H396"/>
  <c r="I396" s="1"/>
  <c r="N396" s="1"/>
  <c r="G397"/>
  <c r="H397"/>
  <c r="I397" s="1"/>
  <c r="N397" s="1"/>
  <c r="G398"/>
  <c r="H398"/>
  <c r="G399"/>
  <c r="H399"/>
  <c r="G400"/>
  <c r="H400"/>
  <c r="I400" s="1"/>
  <c r="N400" s="1"/>
  <c r="G401"/>
  <c r="H401"/>
  <c r="I401" s="1"/>
  <c r="N401" s="1"/>
  <c r="N402"/>
  <c r="N403"/>
  <c r="G404"/>
  <c r="H404"/>
  <c r="G405"/>
  <c r="H405"/>
  <c r="N406"/>
  <c r="N407"/>
  <c r="G408"/>
  <c r="H408"/>
  <c r="G409"/>
  <c r="H409"/>
  <c r="G410"/>
  <c r="H410"/>
  <c r="G411"/>
  <c r="H411"/>
  <c r="G412"/>
  <c r="H412"/>
  <c r="N413"/>
  <c r="N414"/>
  <c r="G415"/>
  <c r="H415"/>
  <c r="G416"/>
  <c r="H416"/>
  <c r="N417"/>
  <c r="N418"/>
  <c r="G419"/>
  <c r="H419"/>
  <c r="G420"/>
  <c r="H420"/>
  <c r="G421"/>
  <c r="H421"/>
  <c r="G422"/>
  <c r="H422"/>
  <c r="G423"/>
  <c r="H423"/>
  <c r="G424"/>
  <c r="H424"/>
  <c r="G425"/>
  <c r="H425"/>
  <c r="N426"/>
  <c r="N427"/>
  <c r="G428"/>
  <c r="H428"/>
  <c r="G429"/>
  <c r="H429"/>
  <c r="G430"/>
  <c r="H430"/>
  <c r="N431"/>
  <c r="N432"/>
  <c r="G433"/>
  <c r="H433"/>
  <c r="G434"/>
  <c r="H434"/>
  <c r="G435"/>
  <c r="H435"/>
  <c r="G436"/>
  <c r="H436"/>
  <c r="G437"/>
  <c r="H437"/>
  <c r="G438"/>
  <c r="H438"/>
  <c r="N439"/>
  <c r="N440"/>
  <c r="G441"/>
  <c r="H441"/>
  <c r="N442"/>
  <c r="N443"/>
  <c r="G444"/>
  <c r="H444"/>
  <c r="G445"/>
  <c r="H445"/>
  <c r="G446"/>
  <c r="H446"/>
  <c r="G447"/>
  <c r="H447"/>
  <c r="G448"/>
  <c r="H448"/>
  <c r="G449"/>
  <c r="H449"/>
  <c r="G450"/>
  <c r="H450"/>
  <c r="N451"/>
  <c r="N452"/>
  <c r="G453"/>
  <c r="H453"/>
  <c r="G454"/>
  <c r="H454"/>
  <c r="N455"/>
  <c r="N456"/>
  <c r="G457"/>
  <c r="H457"/>
  <c r="G458"/>
  <c r="H458"/>
  <c r="G459"/>
  <c r="H459"/>
  <c r="G460"/>
  <c r="H460"/>
  <c r="G461"/>
  <c r="H461"/>
  <c r="G462"/>
  <c r="H462"/>
  <c r="G463"/>
  <c r="H463"/>
  <c r="N464"/>
  <c r="N465"/>
  <c r="G466"/>
  <c r="H466"/>
  <c r="G467"/>
  <c r="H467"/>
  <c r="N468"/>
  <c r="N469"/>
  <c r="N470"/>
  <c r="N471"/>
  <c r="N472"/>
  <c r="N473"/>
  <c r="G474"/>
  <c r="H474"/>
  <c r="G475"/>
  <c r="H475"/>
  <c r="N476"/>
  <c r="N477"/>
  <c r="N478"/>
  <c r="N479"/>
  <c r="G480"/>
  <c r="H480"/>
  <c r="N481"/>
  <c r="N482"/>
  <c r="N483"/>
  <c r="N484"/>
  <c r="G485"/>
  <c r="H485"/>
  <c r="N486"/>
  <c r="N487"/>
  <c r="G488"/>
  <c r="H488"/>
  <c r="N489"/>
  <c r="N490"/>
  <c r="G491"/>
  <c r="H491"/>
  <c r="G492"/>
  <c r="H492"/>
  <c r="G493"/>
  <c r="H493"/>
  <c r="N494"/>
  <c r="N495"/>
  <c r="N496"/>
  <c r="N497"/>
  <c r="G498"/>
  <c r="H498"/>
  <c r="G499"/>
  <c r="H499"/>
  <c r="N500"/>
  <c r="N501"/>
  <c r="G502"/>
  <c r="H502"/>
  <c r="N503"/>
  <c r="N504"/>
  <c r="N505"/>
  <c r="N506"/>
  <c r="N507"/>
  <c r="N508"/>
  <c r="N509"/>
  <c r="N510"/>
  <c r="N511"/>
  <c r="N512"/>
  <c r="N513"/>
  <c r="N514"/>
  <c r="N515"/>
  <c r="N516"/>
  <c r="N517"/>
  <c r="N518"/>
  <c r="N519"/>
  <c r="N520"/>
  <c r="N521"/>
  <c r="N522"/>
  <c r="N523"/>
  <c r="N524"/>
  <c r="N525"/>
  <c r="N526"/>
  <c r="N527"/>
  <c r="N528"/>
  <c r="N529"/>
  <c r="N530"/>
  <c r="N531"/>
  <c r="N532"/>
  <c r="N533"/>
  <c r="N534"/>
  <c r="N535"/>
  <c r="N536"/>
  <c r="N537"/>
  <c r="N538"/>
  <c r="N539"/>
  <c r="N540"/>
  <c r="N541"/>
  <c r="N542"/>
  <c r="N543"/>
  <c r="N544"/>
  <c r="N545"/>
  <c r="N546"/>
  <c r="N547"/>
  <c r="N548"/>
  <c r="N549"/>
  <c r="X2" i="1"/>
  <c r="AD2"/>
  <c r="AF2"/>
  <c r="AJ2"/>
  <c r="AM2"/>
  <c r="AO2"/>
  <c r="W3"/>
  <c r="X3"/>
  <c r="AD3"/>
  <c r="AF3"/>
  <c r="AJ3"/>
  <c r="AM3"/>
  <c r="AO3"/>
  <c r="AS3"/>
  <c r="W4"/>
  <c r="X4"/>
  <c r="AD4"/>
  <c r="AF4"/>
  <c r="AJ4"/>
  <c r="AM4"/>
  <c r="AO4"/>
  <c r="AP4"/>
  <c r="AS4"/>
  <c r="W5"/>
  <c r="X5"/>
  <c r="AD5"/>
  <c r="AF5"/>
  <c r="AG5"/>
  <c r="AJ5"/>
  <c r="AM5"/>
  <c r="AO5"/>
  <c r="AP5"/>
  <c r="AS5"/>
  <c r="W6"/>
  <c r="X6"/>
  <c r="AD6"/>
  <c r="AF6"/>
  <c r="AG6"/>
  <c r="AJ6"/>
  <c r="AM6"/>
  <c r="AO6"/>
  <c r="AP6"/>
  <c r="AS6"/>
  <c r="W7"/>
  <c r="AP7" s="1"/>
  <c r="X7"/>
  <c r="AD7"/>
  <c r="AF7"/>
  <c r="AG7"/>
  <c r="AM7"/>
  <c r="AO7"/>
  <c r="AS7"/>
  <c r="W8"/>
  <c r="X8"/>
  <c r="AD8"/>
  <c r="AF8"/>
  <c r="AG8"/>
  <c r="AJ8"/>
  <c r="AM8"/>
  <c r="AO8"/>
  <c r="AS8"/>
  <c r="W9"/>
  <c r="X9"/>
  <c r="AP9" s="1"/>
  <c r="AD9"/>
  <c r="AF9"/>
  <c r="AG9"/>
  <c r="AJ9"/>
  <c r="AS9" s="1"/>
  <c r="AM9"/>
  <c r="AO9"/>
  <c r="W10"/>
  <c r="X10"/>
  <c r="AD10"/>
  <c r="AF10"/>
  <c r="AG10"/>
  <c r="AJ10"/>
  <c r="AS10" s="1"/>
  <c r="AM10"/>
  <c r="AO10"/>
  <c r="W11"/>
  <c r="X11"/>
  <c r="AD11"/>
  <c r="AG11"/>
  <c r="AJ11"/>
  <c r="AM11"/>
  <c r="AO11"/>
  <c r="AS11"/>
  <c r="W12"/>
  <c r="X12"/>
  <c r="AD12"/>
  <c r="AG12"/>
  <c r="AJ12"/>
  <c r="AM12"/>
  <c r="AO12"/>
  <c r="AS12"/>
  <c r="W13"/>
  <c r="X13"/>
  <c r="AP13" s="1"/>
  <c r="AD13"/>
  <c r="AF13"/>
  <c r="AG13"/>
  <c r="AJ13"/>
  <c r="AS13" s="1"/>
  <c r="AM13"/>
  <c r="AO13"/>
  <c r="W14"/>
  <c r="X14"/>
  <c r="AD14"/>
  <c r="AG14"/>
  <c r="AJ14"/>
  <c r="AM14"/>
  <c r="AO14"/>
  <c r="AS14"/>
  <c r="W15"/>
  <c r="X15"/>
  <c r="AP15" s="1"/>
  <c r="AD15"/>
  <c r="AF15"/>
  <c r="AG15"/>
  <c r="AJ15"/>
  <c r="AS15" s="1"/>
  <c r="AM15"/>
  <c r="AO15"/>
  <c r="W16"/>
  <c r="X16"/>
  <c r="AD16"/>
  <c r="AF16"/>
  <c r="AG16"/>
  <c r="AJ16"/>
  <c r="AS16" s="1"/>
  <c r="AM16"/>
  <c r="AO16"/>
  <c r="W17"/>
  <c r="X17"/>
  <c r="AD17"/>
  <c r="AF17"/>
  <c r="AG17"/>
  <c r="AM17"/>
  <c r="AO17"/>
  <c r="AS17"/>
  <c r="W18"/>
  <c r="X18"/>
  <c r="AD18"/>
  <c r="AF18"/>
  <c r="AG18"/>
  <c r="AJ18"/>
  <c r="AS18" s="1"/>
  <c r="AM18"/>
  <c r="AO18"/>
  <c r="W19"/>
  <c r="X19"/>
  <c r="AD19"/>
  <c r="AG19"/>
  <c r="AJ19"/>
  <c r="AS19" s="1"/>
  <c r="AM19"/>
  <c r="AO19"/>
  <c r="W20"/>
  <c r="X20"/>
  <c r="AD20"/>
  <c r="AF20"/>
  <c r="AG20"/>
  <c r="AJ20"/>
  <c r="AS20" s="1"/>
  <c r="AM20"/>
  <c r="AO20"/>
  <c r="W21"/>
  <c r="X21"/>
  <c r="AD21"/>
  <c r="AG21"/>
  <c r="AJ21"/>
  <c r="AS21" s="1"/>
  <c r="AM21"/>
  <c r="AO21"/>
  <c r="W22"/>
  <c r="X22"/>
  <c r="AD22"/>
  <c r="AF22"/>
  <c r="AG22"/>
  <c r="AJ22"/>
  <c r="AS22" s="1"/>
  <c r="AM22"/>
  <c r="AO22"/>
  <c r="W23"/>
  <c r="X23"/>
  <c r="AD23"/>
  <c r="AF23"/>
  <c r="AG23"/>
  <c r="AJ23"/>
  <c r="AS23" s="1"/>
  <c r="AM23"/>
  <c r="AO23"/>
  <c r="W24"/>
  <c r="X24"/>
  <c r="AD24"/>
  <c r="AF24"/>
  <c r="AG24"/>
  <c r="AJ24"/>
  <c r="AS24" s="1"/>
  <c r="AM24"/>
  <c r="AO24"/>
  <c r="W25"/>
  <c r="X25"/>
  <c r="AD25"/>
  <c r="AF25"/>
  <c r="AG25"/>
  <c r="AJ25"/>
  <c r="AS25" s="1"/>
  <c r="AM25"/>
  <c r="AO25"/>
  <c r="W26"/>
  <c r="X26"/>
  <c r="AD26"/>
  <c r="AF26"/>
  <c r="AG26"/>
  <c r="AJ26"/>
  <c r="AS26" s="1"/>
  <c r="AM26"/>
  <c r="AO26"/>
  <c r="W27"/>
  <c r="X27"/>
  <c r="AD27"/>
  <c r="AF27"/>
  <c r="AG27"/>
  <c r="AM27"/>
  <c r="AO27"/>
  <c r="AS27"/>
  <c r="W28"/>
  <c r="X28"/>
  <c r="AP28" s="1"/>
  <c r="AD28"/>
  <c r="AF28"/>
  <c r="AG28"/>
  <c r="AJ28"/>
  <c r="AS28" s="1"/>
  <c r="AM28"/>
  <c r="AO28"/>
  <c r="W29"/>
  <c r="X29"/>
  <c r="AD29"/>
  <c r="AF29"/>
  <c r="AG29"/>
  <c r="AJ29"/>
  <c r="AS29" s="1"/>
  <c r="AM29"/>
  <c r="AO29"/>
  <c r="W30"/>
  <c r="X30"/>
  <c r="AD30"/>
  <c r="AF30"/>
  <c r="AG30"/>
  <c r="AM30"/>
  <c r="AO30"/>
  <c r="AS30"/>
  <c r="W31"/>
  <c r="X31"/>
  <c r="AD31"/>
  <c r="AF31"/>
  <c r="AG31"/>
  <c r="AM31"/>
  <c r="AO31"/>
  <c r="AS31"/>
  <c r="W32"/>
  <c r="X32"/>
  <c r="AD32"/>
  <c r="AF32"/>
  <c r="AG32"/>
  <c r="AJ32"/>
  <c r="AS32" s="1"/>
  <c r="AM32"/>
  <c r="AO32"/>
  <c r="W33"/>
  <c r="X33"/>
  <c r="AD33"/>
  <c r="AF33"/>
  <c r="AG33"/>
  <c r="AJ33"/>
  <c r="AS33" s="1"/>
  <c r="AM33"/>
  <c r="AO33"/>
  <c r="W34"/>
  <c r="X34"/>
  <c r="AD34"/>
  <c r="AG34"/>
  <c r="AM34"/>
  <c r="AO34"/>
  <c r="AS34"/>
  <c r="W35"/>
  <c r="X35"/>
  <c r="AD35"/>
  <c r="AF35"/>
  <c r="AG35"/>
  <c r="AJ35"/>
  <c r="AS35" s="1"/>
  <c r="AM35"/>
  <c r="AO35"/>
  <c r="W36"/>
  <c r="X36"/>
  <c r="AD36"/>
  <c r="AG36"/>
  <c r="AJ36"/>
  <c r="AS36" s="1"/>
  <c r="AM36"/>
  <c r="AO36"/>
  <c r="W37"/>
  <c r="X37"/>
  <c r="AD37"/>
  <c r="AF37"/>
  <c r="AG37"/>
  <c r="AJ37"/>
  <c r="AS37" s="1"/>
  <c r="AM37"/>
  <c r="AO37"/>
  <c r="W38"/>
  <c r="X38"/>
  <c r="AD38"/>
  <c r="AF38"/>
  <c r="AG38"/>
  <c r="AJ38"/>
  <c r="AS38" s="1"/>
  <c r="AM38"/>
  <c r="AO38"/>
  <c r="W39"/>
  <c r="X39"/>
  <c r="AD39"/>
  <c r="AF39"/>
  <c r="AG39"/>
  <c r="AJ39"/>
  <c r="AS39" s="1"/>
  <c r="AM39"/>
  <c r="AO39"/>
  <c r="W40"/>
  <c r="X40"/>
  <c r="AD40"/>
  <c r="AF40"/>
  <c r="AG40"/>
  <c r="AJ40"/>
  <c r="AS40" s="1"/>
  <c r="AM40"/>
  <c r="AO40"/>
  <c r="W41"/>
  <c r="X41"/>
  <c r="AD41"/>
  <c r="AF41"/>
  <c r="AG41"/>
  <c r="AJ41"/>
  <c r="AS41" s="1"/>
  <c r="AM41"/>
  <c r="AO41"/>
  <c r="W42"/>
  <c r="X42"/>
  <c r="AD42"/>
  <c r="AF42"/>
  <c r="AG42"/>
  <c r="AJ42"/>
  <c r="AS42" s="1"/>
  <c r="AM42"/>
  <c r="AO42"/>
  <c r="W43"/>
  <c r="X43"/>
  <c r="AD43"/>
  <c r="AF43"/>
  <c r="AG43"/>
  <c r="AJ43"/>
  <c r="AS43" s="1"/>
  <c r="AM43"/>
  <c r="AO43"/>
  <c r="W44"/>
  <c r="X44"/>
  <c r="AD44"/>
  <c r="AG44"/>
  <c r="AJ44"/>
  <c r="AS44" s="1"/>
  <c r="AM44"/>
  <c r="AO44"/>
  <c r="W45"/>
  <c r="X45"/>
  <c r="AD45"/>
  <c r="AF45"/>
  <c r="AG45"/>
  <c r="AJ45"/>
  <c r="AS45" s="1"/>
  <c r="AM45"/>
  <c r="AO45"/>
  <c r="W46"/>
  <c r="X46"/>
  <c r="AD46"/>
  <c r="AF46"/>
  <c r="AG46"/>
  <c r="AJ46"/>
  <c r="AS46" s="1"/>
  <c r="AM46"/>
  <c r="AO46"/>
  <c r="W47"/>
  <c r="X47"/>
  <c r="AD47"/>
  <c r="AF47"/>
  <c r="AG47"/>
  <c r="AJ47"/>
  <c r="AS47" s="1"/>
  <c r="AM47"/>
  <c r="AO47"/>
  <c r="W48"/>
  <c r="X48"/>
  <c r="AD48"/>
  <c r="AG48"/>
  <c r="AM48"/>
  <c r="AO48"/>
  <c r="AS48"/>
  <c r="W49"/>
  <c r="X49"/>
  <c r="AD49"/>
  <c r="AG49"/>
  <c r="AJ49"/>
  <c r="AS49" s="1"/>
  <c r="AM49"/>
  <c r="AO49"/>
  <c r="W50"/>
  <c r="X50"/>
  <c r="AD50"/>
  <c r="AF50"/>
  <c r="AG50"/>
  <c r="AJ50"/>
  <c r="AS50" s="1"/>
  <c r="AM50"/>
  <c r="AO50"/>
  <c r="W51"/>
  <c r="X51"/>
  <c r="AD51"/>
  <c r="AG51"/>
  <c r="AM51"/>
  <c r="AO51"/>
  <c r="AS51"/>
  <c r="W52"/>
  <c r="X52"/>
  <c r="AD52"/>
  <c r="AG52"/>
  <c r="AM52"/>
  <c r="AO52"/>
  <c r="AS52"/>
  <c r="W53"/>
  <c r="X53"/>
  <c r="AD53"/>
  <c r="AF53"/>
  <c r="AG53"/>
  <c r="AJ53"/>
  <c r="AS53" s="1"/>
  <c r="AM53"/>
  <c r="AO53"/>
  <c r="W54"/>
  <c r="X54"/>
  <c r="AD54"/>
  <c r="AF54"/>
  <c r="AG54"/>
  <c r="AJ54"/>
  <c r="AS54" s="1"/>
  <c r="AM54"/>
  <c r="AO54"/>
  <c r="W55"/>
  <c r="X55"/>
  <c r="AD55"/>
  <c r="AF55"/>
  <c r="AG55"/>
  <c r="AJ55"/>
  <c r="AS55" s="1"/>
  <c r="AM55"/>
  <c r="AO55"/>
  <c r="W56"/>
  <c r="X56"/>
  <c r="AD56"/>
  <c r="AG56"/>
  <c r="AJ56"/>
  <c r="AS56" s="1"/>
  <c r="AM56"/>
  <c r="AO56"/>
  <c r="W57"/>
  <c r="X57"/>
  <c r="AD57"/>
  <c r="AG57"/>
  <c r="AJ57"/>
  <c r="AS57" s="1"/>
  <c r="AM57"/>
  <c r="AO57"/>
  <c r="W58"/>
  <c r="X58"/>
  <c r="AD58"/>
  <c r="AF58"/>
  <c r="AG58"/>
  <c r="AJ58"/>
  <c r="AS58" s="1"/>
  <c r="AM58"/>
  <c r="AO58"/>
  <c r="W59"/>
  <c r="X59"/>
  <c r="AD59"/>
  <c r="AF59"/>
  <c r="AG59"/>
  <c r="AJ59"/>
  <c r="AS59" s="1"/>
  <c r="AM59"/>
  <c r="AO59"/>
  <c r="W60"/>
  <c r="X60"/>
  <c r="AD60"/>
  <c r="AF60"/>
  <c r="AG60"/>
  <c r="AJ60"/>
  <c r="AS60" s="1"/>
  <c r="AM60"/>
  <c r="AO60"/>
  <c r="W61"/>
  <c r="X61"/>
  <c r="AD61"/>
  <c r="AF61"/>
  <c r="AG61"/>
  <c r="AJ61"/>
  <c r="AS61" s="1"/>
  <c r="AM61"/>
  <c r="AO61"/>
  <c r="W62"/>
  <c r="X62"/>
  <c r="AD62"/>
  <c r="AF62"/>
  <c r="AG62"/>
  <c r="AJ62"/>
  <c r="AS62" s="1"/>
  <c r="AM62"/>
  <c r="AO62"/>
  <c r="W63"/>
  <c r="X63"/>
  <c r="AD63"/>
  <c r="AF63"/>
  <c r="AG63"/>
  <c r="AJ63"/>
  <c r="AS63" s="1"/>
  <c r="AM63"/>
  <c r="AO63"/>
  <c r="W64"/>
  <c r="X64"/>
  <c r="AD64"/>
  <c r="AF64"/>
  <c r="AG64"/>
  <c r="AJ64"/>
  <c r="AS64" s="1"/>
  <c r="AM64"/>
  <c r="AO64"/>
  <c r="W65"/>
  <c r="X65"/>
  <c r="AD65"/>
  <c r="AF65"/>
  <c r="AG65"/>
  <c r="AJ65"/>
  <c r="AS65" s="1"/>
  <c r="AM65"/>
  <c r="AO65"/>
  <c r="W66"/>
  <c r="X66"/>
  <c r="AD66"/>
  <c r="AF66"/>
  <c r="AG66"/>
  <c r="AJ66"/>
  <c r="AS66" s="1"/>
  <c r="AM66"/>
  <c r="AO66"/>
  <c r="W67"/>
  <c r="X67"/>
  <c r="AD67"/>
  <c r="AF67"/>
  <c r="AG67"/>
  <c r="AJ67"/>
  <c r="AS67" s="1"/>
  <c r="AM67"/>
  <c r="AO67"/>
  <c r="W68"/>
  <c r="X68"/>
  <c r="AD68"/>
  <c r="AF68"/>
  <c r="AG68"/>
  <c r="AJ68"/>
  <c r="AS68" s="1"/>
  <c r="AM68"/>
  <c r="AO68"/>
  <c r="W69"/>
  <c r="X69"/>
  <c r="AD69"/>
  <c r="AF69"/>
  <c r="AG69"/>
  <c r="AJ69"/>
  <c r="AS69" s="1"/>
  <c r="AM69"/>
  <c r="AO69"/>
  <c r="W70"/>
  <c r="X70"/>
  <c r="AD70"/>
  <c r="AF70"/>
  <c r="AG70"/>
  <c r="AJ70"/>
  <c r="AS70" s="1"/>
  <c r="AM70"/>
  <c r="AO70"/>
  <c r="W71"/>
  <c r="X71"/>
  <c r="AD71"/>
  <c r="AF71"/>
  <c r="AG71"/>
  <c r="AJ71"/>
  <c r="AS71" s="1"/>
  <c r="AM71"/>
  <c r="AO71"/>
  <c r="W72"/>
  <c r="X72"/>
  <c r="AD72"/>
  <c r="AF72"/>
  <c r="AG72"/>
  <c r="AJ72"/>
  <c r="AS72" s="1"/>
  <c r="AM72"/>
  <c r="AO72"/>
  <c r="W73"/>
  <c r="X73"/>
  <c r="AD73"/>
  <c r="AF73"/>
  <c r="AG73"/>
  <c r="AJ73"/>
  <c r="AS73" s="1"/>
  <c r="AM73"/>
  <c r="AO73"/>
  <c r="W74"/>
  <c r="X74"/>
  <c r="AD74"/>
  <c r="AF74"/>
  <c r="AG74"/>
  <c r="AJ74"/>
  <c r="AS74" s="1"/>
  <c r="AM74"/>
  <c r="AO74"/>
  <c r="W75"/>
  <c r="X75"/>
  <c r="AD75"/>
  <c r="AF75"/>
  <c r="AG75"/>
  <c r="AJ75"/>
  <c r="AS75" s="1"/>
  <c r="AM75"/>
  <c r="AO75"/>
  <c r="W76"/>
  <c r="X76"/>
  <c r="AD76"/>
  <c r="AF76"/>
  <c r="AG76"/>
  <c r="AJ76"/>
  <c r="AS76" s="1"/>
  <c r="AM76"/>
  <c r="AO76"/>
  <c r="W77"/>
  <c r="X77"/>
  <c r="AD77"/>
  <c r="AF77"/>
  <c r="AG77"/>
  <c r="AJ77"/>
  <c r="AS77" s="1"/>
  <c r="AM77"/>
  <c r="AO77"/>
  <c r="W78"/>
  <c r="X78"/>
  <c r="AD78"/>
  <c r="AF78"/>
  <c r="AG78"/>
  <c r="AJ78"/>
  <c r="AS78" s="1"/>
  <c r="AM78"/>
  <c r="AO78"/>
  <c r="W79"/>
  <c r="X79"/>
  <c r="AD79"/>
  <c r="AF79"/>
  <c r="AG79"/>
  <c r="AJ79"/>
  <c r="AS79" s="1"/>
  <c r="AM79"/>
  <c r="AO79"/>
  <c r="W80"/>
  <c r="X80"/>
  <c r="AD80"/>
  <c r="AG80"/>
  <c r="AM80"/>
  <c r="AO80"/>
  <c r="AS80"/>
  <c r="W81"/>
  <c r="X81"/>
  <c r="AD81"/>
  <c r="AG81"/>
  <c r="AM81"/>
  <c r="AO81"/>
  <c r="AS81"/>
  <c r="W82"/>
  <c r="X82"/>
  <c r="AD82"/>
  <c r="AF82"/>
  <c r="AG82"/>
  <c r="AJ82"/>
  <c r="AS82" s="1"/>
  <c r="AM82"/>
  <c r="AO82"/>
  <c r="W83"/>
  <c r="X83"/>
  <c r="AD83"/>
  <c r="AG83"/>
  <c r="AM83"/>
  <c r="AO83"/>
  <c r="AS83"/>
  <c r="W84"/>
  <c r="X84"/>
  <c r="AD84"/>
  <c r="AG84"/>
  <c r="AJ84"/>
  <c r="AS84" s="1"/>
  <c r="AM84"/>
  <c r="AO84"/>
  <c r="W85"/>
  <c r="X85"/>
  <c r="AD85"/>
  <c r="AG85"/>
  <c r="AJ85"/>
  <c r="AS85" s="1"/>
  <c r="AM85"/>
  <c r="AO85"/>
  <c r="W86"/>
  <c r="X86"/>
  <c r="AD86"/>
  <c r="AG86"/>
  <c r="AJ86"/>
  <c r="AS86" s="1"/>
  <c r="AM86"/>
  <c r="AO86"/>
  <c r="V87"/>
  <c r="W87"/>
  <c r="AC87"/>
  <c r="AF87"/>
  <c r="AI87"/>
  <c r="AR87" s="1"/>
  <c r="AL87"/>
  <c r="AN87"/>
  <c r="V88"/>
  <c r="W88"/>
  <c r="AC88"/>
  <c r="AF88"/>
  <c r="AI88"/>
  <c r="AR88" s="1"/>
  <c r="AL88"/>
  <c r="AN88"/>
  <c r="V89"/>
  <c r="W89"/>
  <c r="AC89"/>
  <c r="AF89"/>
  <c r="AI89"/>
  <c r="AR89" s="1"/>
  <c r="AL89"/>
  <c r="AN89"/>
  <c r="V90"/>
  <c r="W90"/>
  <c r="AC90"/>
  <c r="AF90"/>
  <c r="AI90"/>
  <c r="AR90" s="1"/>
  <c r="AL90"/>
  <c r="AN90"/>
  <c r="V91"/>
  <c r="W91"/>
  <c r="AC91"/>
  <c r="AF91"/>
  <c r="AI91"/>
  <c r="AR91" s="1"/>
  <c r="AL91"/>
  <c r="AN91"/>
  <c r="V92"/>
  <c r="W92"/>
  <c r="AC92"/>
  <c r="AF92"/>
  <c r="AI92"/>
  <c r="AR92" s="1"/>
  <c r="AL92"/>
  <c r="AN92"/>
  <c r="V93"/>
  <c r="W93"/>
  <c r="AC93"/>
  <c r="AF93"/>
  <c r="AI93"/>
  <c r="AR93" s="1"/>
  <c r="AL93"/>
  <c r="AN93"/>
  <c r="V94"/>
  <c r="W94"/>
  <c r="AC94"/>
  <c r="AF94"/>
  <c r="AI94"/>
  <c r="AR94" s="1"/>
  <c r="AL94"/>
  <c r="AN94"/>
  <c r="V95"/>
  <c r="W95"/>
  <c r="AC95"/>
  <c r="AF95"/>
  <c r="AI95"/>
  <c r="AR95" s="1"/>
  <c r="AL95"/>
  <c r="AN95"/>
  <c r="V96"/>
  <c r="W96"/>
  <c r="AC96"/>
  <c r="AF96"/>
  <c r="AI96"/>
  <c r="AR96" s="1"/>
  <c r="AL96"/>
  <c r="AN96"/>
  <c r="V97"/>
  <c r="W97"/>
  <c r="AC97"/>
  <c r="AF97"/>
  <c r="AI97"/>
  <c r="AR97" s="1"/>
  <c r="AL97"/>
  <c r="AN97"/>
  <c r="V98"/>
  <c r="W98"/>
  <c r="AC98"/>
  <c r="AF98"/>
  <c r="AI98"/>
  <c r="AR98" s="1"/>
  <c r="AL98"/>
  <c r="AN98"/>
  <c r="V99"/>
  <c r="W99"/>
  <c r="AC99"/>
  <c r="AF99"/>
  <c r="AI99"/>
  <c r="AR99" s="1"/>
  <c r="AL99"/>
  <c r="AN99"/>
  <c r="V100"/>
  <c r="W100"/>
  <c r="AC100"/>
  <c r="AF100"/>
  <c r="AI100"/>
  <c r="AR100" s="1"/>
  <c r="AL100"/>
  <c r="AN100"/>
  <c r="V101"/>
  <c r="W101"/>
  <c r="AC101"/>
  <c r="AF101"/>
  <c r="AI101"/>
  <c r="AR101" s="1"/>
  <c r="AL101"/>
  <c r="AN101"/>
  <c r="V102"/>
  <c r="W102"/>
  <c r="AC102"/>
  <c r="AF102"/>
  <c r="AI102"/>
  <c r="AR102" s="1"/>
  <c r="AL102"/>
  <c r="AN102"/>
  <c r="V103"/>
  <c r="W103"/>
  <c r="AC103"/>
  <c r="AF103"/>
  <c r="AI103"/>
  <c r="AR103" s="1"/>
  <c r="AL103"/>
  <c r="AN103"/>
  <c r="V104"/>
  <c r="W104"/>
  <c r="AC104"/>
  <c r="AF104"/>
  <c r="AI104"/>
  <c r="AR104" s="1"/>
  <c r="AL104"/>
  <c r="AN104"/>
  <c r="V105"/>
  <c r="W105"/>
  <c r="AC105"/>
  <c r="AF105"/>
  <c r="AI105"/>
  <c r="AR105" s="1"/>
  <c r="AL105"/>
  <c r="AN105"/>
  <c r="V106"/>
  <c r="W106"/>
  <c r="AC106"/>
  <c r="AF106"/>
  <c r="AI106"/>
  <c r="AR106" s="1"/>
  <c r="AL106"/>
  <c r="AN106"/>
  <c r="V107"/>
  <c r="W107"/>
  <c r="AC107"/>
  <c r="AF107"/>
  <c r="AI107"/>
  <c r="AR107" s="1"/>
  <c r="AL107"/>
  <c r="AN107"/>
  <c r="V108"/>
  <c r="W108"/>
  <c r="AC108"/>
  <c r="AF108"/>
  <c r="AI108"/>
  <c r="AR108" s="1"/>
  <c r="AL108"/>
  <c r="AN108"/>
  <c r="V109"/>
  <c r="W109"/>
  <c r="AC109"/>
  <c r="AF109"/>
  <c r="AI109"/>
  <c r="AR109" s="1"/>
  <c r="AL109"/>
  <c r="AN109"/>
  <c r="V110"/>
  <c r="W110"/>
  <c r="AC110"/>
  <c r="AF110"/>
  <c r="AI110"/>
  <c r="AR110" s="1"/>
  <c r="AL110"/>
  <c r="AN110"/>
  <c r="V111"/>
  <c r="W111"/>
  <c r="AC111"/>
  <c r="AF111"/>
  <c r="AI111"/>
  <c r="AR111" s="1"/>
  <c r="AL111"/>
  <c r="AN111"/>
  <c r="V112"/>
  <c r="W112"/>
  <c r="AC112"/>
  <c r="AF112"/>
  <c r="AI112"/>
  <c r="AR112" s="1"/>
  <c r="AL112"/>
  <c r="AN112"/>
  <c r="V113"/>
  <c r="W113"/>
  <c r="AC113"/>
  <c r="AF113"/>
  <c r="AL113"/>
  <c r="AN113"/>
  <c r="AR113"/>
  <c r="V114"/>
  <c r="W114"/>
  <c r="AC114"/>
  <c r="AF114"/>
  <c r="AI114"/>
  <c r="AR114" s="1"/>
  <c r="AL114"/>
  <c r="AN114"/>
  <c r="V115"/>
  <c r="W115"/>
  <c r="AC115"/>
  <c r="AF115"/>
  <c r="AI115"/>
  <c r="AR115" s="1"/>
  <c r="AL115"/>
  <c r="AN115"/>
  <c r="V116"/>
  <c r="W116"/>
  <c r="AC116"/>
  <c r="AF116"/>
  <c r="AI116"/>
  <c r="AR116" s="1"/>
  <c r="AL116"/>
  <c r="AN116"/>
  <c r="V117"/>
  <c r="W117"/>
  <c r="AC117"/>
  <c r="AF117"/>
  <c r="AI117"/>
  <c r="AR117" s="1"/>
  <c r="AL117"/>
  <c r="AN117"/>
  <c r="V118"/>
  <c r="W118"/>
  <c r="AC118"/>
  <c r="AF118"/>
  <c r="AI118"/>
  <c r="AR118" s="1"/>
  <c r="AL118"/>
  <c r="AN118"/>
  <c r="V119"/>
  <c r="W119"/>
  <c r="AC119"/>
  <c r="AF119"/>
  <c r="AL119"/>
  <c r="AN119"/>
  <c r="AR119"/>
  <c r="AJ33" i="2"/>
  <c r="B12"/>
  <c r="AP109" i="1" l="1"/>
  <c r="AO114"/>
  <c r="AO119"/>
  <c r="AO116"/>
  <c r="AP61"/>
  <c r="AP50"/>
  <c r="AP101"/>
  <c r="AO117"/>
  <c r="AO115"/>
  <c r="AO110"/>
  <c r="AO108"/>
  <c r="AO96"/>
  <c r="AO94"/>
  <c r="AO88"/>
  <c r="AP86"/>
  <c r="AP77"/>
  <c r="AP45"/>
  <c r="AP42"/>
  <c r="AP35"/>
  <c r="AP29"/>
  <c r="AP27"/>
  <c r="AO104"/>
  <c r="AO102"/>
  <c r="AO100"/>
  <c r="AP93"/>
  <c r="AO92"/>
  <c r="AP69"/>
  <c r="AP56"/>
  <c r="AP47"/>
  <c r="AP33"/>
  <c r="AP31"/>
  <c r="AP30"/>
  <c r="AP20"/>
  <c r="AO118"/>
  <c r="AO111"/>
  <c r="AO106"/>
  <c r="AO98"/>
  <c r="AO90"/>
  <c r="AQ85"/>
  <c r="AP84"/>
  <c r="AQ83"/>
  <c r="AP83"/>
  <c r="AQ81"/>
  <c r="AP81"/>
  <c r="AP73"/>
  <c r="AP65"/>
  <c r="AP57"/>
  <c r="AQ52"/>
  <c r="AP52"/>
  <c r="AP48"/>
  <c r="AP46"/>
  <c r="AP44"/>
  <c r="AP38"/>
  <c r="AP34"/>
  <c r="AP32"/>
  <c r="AP23"/>
  <c r="AP19"/>
  <c r="AP16"/>
  <c r="AP14"/>
  <c r="AP11"/>
  <c r="AQ50"/>
  <c r="AR50" s="1"/>
  <c r="AQ30"/>
  <c r="AQ13"/>
  <c r="AR13" s="1"/>
  <c r="AQ2"/>
  <c r="AP113"/>
  <c r="AO113"/>
  <c r="AO112"/>
  <c r="AO107"/>
  <c r="AO105"/>
  <c r="AO99"/>
  <c r="AO97"/>
  <c r="AO91"/>
  <c r="AO89"/>
  <c r="AP79"/>
  <c r="AP75"/>
  <c r="AP71"/>
  <c r="AP67"/>
  <c r="AP63"/>
  <c r="AP59"/>
  <c r="AP55"/>
  <c r="AP54"/>
  <c r="AP53"/>
  <c r="AQ51"/>
  <c r="AP51"/>
  <c r="AQ49"/>
  <c r="AP49"/>
  <c r="AP40"/>
  <c r="AP36"/>
  <c r="AP25"/>
  <c r="AP21"/>
  <c r="AP17"/>
  <c r="AQ12"/>
  <c r="AP12"/>
  <c r="AQ3"/>
  <c r="AP117"/>
  <c r="AQ117" s="1"/>
  <c r="AP116"/>
  <c r="AQ116" s="1"/>
  <c r="AP110"/>
  <c r="AQ110" s="1"/>
  <c r="AP107"/>
  <c r="AP99"/>
  <c r="AP91"/>
  <c r="AQ79"/>
  <c r="AQ75"/>
  <c r="AQ71"/>
  <c r="AQ67"/>
  <c r="AQ63"/>
  <c r="AQ59"/>
  <c r="AQ55"/>
  <c r="AR55" s="1"/>
  <c r="AQ53"/>
  <c r="AP119"/>
  <c r="AQ119" s="1"/>
  <c r="AP118"/>
  <c r="AQ118" s="1"/>
  <c r="AP115"/>
  <c r="AQ115" s="1"/>
  <c r="AP114"/>
  <c r="AQ114" s="1"/>
  <c r="AP112"/>
  <c r="AQ112" s="1"/>
  <c r="AP111"/>
  <c r="AP105"/>
  <c r="AP97"/>
  <c r="AP89"/>
  <c r="AQ77"/>
  <c r="AQ73"/>
  <c r="AQ69"/>
  <c r="AQ65"/>
  <c r="AR65" s="1"/>
  <c r="AQ61"/>
  <c r="AQ57"/>
  <c r="AQ54"/>
  <c r="AQ42"/>
  <c r="AQ40"/>
  <c r="AQ38"/>
  <c r="AQ36"/>
  <c r="AQ25"/>
  <c r="AQ23"/>
  <c r="AQ21"/>
  <c r="AQ17"/>
  <c r="AQ9"/>
  <c r="AR9" s="1"/>
  <c r="AQ7"/>
  <c r="AO109"/>
  <c r="AQ109" s="1"/>
  <c r="AP103"/>
  <c r="AO103"/>
  <c r="AO101"/>
  <c r="AP95"/>
  <c r="AO95"/>
  <c r="AO93"/>
  <c r="AQ93" s="1"/>
  <c r="AP87"/>
  <c r="AO87"/>
  <c r="AP85"/>
  <c r="AQ82"/>
  <c r="AP82"/>
  <c r="AQ80"/>
  <c r="AP80"/>
  <c r="AQ78"/>
  <c r="AP78"/>
  <c r="AQ76"/>
  <c r="AP76"/>
  <c r="AQ74"/>
  <c r="AP74"/>
  <c r="AQ72"/>
  <c r="AP72"/>
  <c r="AQ70"/>
  <c r="AP70"/>
  <c r="AQ68"/>
  <c r="AP68"/>
  <c r="AQ66"/>
  <c r="AP66"/>
  <c r="AQ64"/>
  <c r="AP64"/>
  <c r="AQ62"/>
  <c r="AP62"/>
  <c r="AQ60"/>
  <c r="AP60"/>
  <c r="AQ58"/>
  <c r="AP58"/>
  <c r="AQ43"/>
  <c r="AP43"/>
  <c r="AQ41"/>
  <c r="AP41"/>
  <c r="AQ39"/>
  <c r="AP39"/>
  <c r="AQ37"/>
  <c r="AP37"/>
  <c r="AQ26"/>
  <c r="AP26"/>
  <c r="AQ24"/>
  <c r="AP24"/>
  <c r="AQ22"/>
  <c r="AP22"/>
  <c r="AQ18"/>
  <c r="AP18"/>
  <c r="AQ10"/>
  <c r="AP10"/>
  <c r="AQ8"/>
  <c r="AP8"/>
  <c r="I502" i="4"/>
  <c r="N502" s="1"/>
  <c r="I499"/>
  <c r="N499" s="1"/>
  <c r="I498"/>
  <c r="N498" s="1"/>
  <c r="I493"/>
  <c r="N493" s="1"/>
  <c r="I492"/>
  <c r="N492" s="1"/>
  <c r="I491"/>
  <c r="N491" s="1"/>
  <c r="I488"/>
  <c r="N488" s="1"/>
  <c r="I485"/>
  <c r="N485" s="1"/>
  <c r="I480"/>
  <c r="N480" s="1"/>
  <c r="I475"/>
  <c r="N475" s="1"/>
  <c r="I474"/>
  <c r="N474" s="1"/>
  <c r="I467"/>
  <c r="N467" s="1"/>
  <c r="I466"/>
  <c r="N466" s="1"/>
  <c r="I463"/>
  <c r="N463" s="1"/>
  <c r="I462"/>
  <c r="N462" s="1"/>
  <c r="I461"/>
  <c r="N461" s="1"/>
  <c r="I460"/>
  <c r="N460" s="1"/>
  <c r="I459"/>
  <c r="N459" s="1"/>
  <c r="I458"/>
  <c r="N458" s="1"/>
  <c r="I457"/>
  <c r="N457" s="1"/>
  <c r="I454"/>
  <c r="N454" s="1"/>
  <c r="I453"/>
  <c r="N453" s="1"/>
  <c r="I450"/>
  <c r="N450" s="1"/>
  <c r="I449"/>
  <c r="N449" s="1"/>
  <c r="I448"/>
  <c r="N448" s="1"/>
  <c r="I447"/>
  <c r="N447" s="1"/>
  <c r="I446"/>
  <c r="N446" s="1"/>
  <c r="I445"/>
  <c r="N445" s="1"/>
  <c r="I444"/>
  <c r="N444" s="1"/>
  <c r="I441"/>
  <c r="N441" s="1"/>
  <c r="I438"/>
  <c r="N438" s="1"/>
  <c r="I437"/>
  <c r="N437" s="1"/>
  <c r="I436"/>
  <c r="N436" s="1"/>
  <c r="I435"/>
  <c r="N435" s="1"/>
  <c r="I434"/>
  <c r="N434" s="1"/>
  <c r="I433"/>
  <c r="N433" s="1"/>
  <c r="I430"/>
  <c r="N430" s="1"/>
  <c r="I429"/>
  <c r="N429" s="1"/>
  <c r="I428"/>
  <c r="N428" s="1"/>
  <c r="I425"/>
  <c r="N425" s="1"/>
  <c r="I424"/>
  <c r="N424" s="1"/>
  <c r="I423"/>
  <c r="N423" s="1"/>
  <c r="I422"/>
  <c r="N422" s="1"/>
  <c r="I421"/>
  <c r="N421" s="1"/>
  <c r="I420"/>
  <c r="N420" s="1"/>
  <c r="I419"/>
  <c r="N419" s="1"/>
  <c r="I416"/>
  <c r="N416" s="1"/>
  <c r="I415"/>
  <c r="N415" s="1"/>
  <c r="I412"/>
  <c r="N412" s="1"/>
  <c r="I411"/>
  <c r="N411" s="1"/>
  <c r="I410"/>
  <c r="N410" s="1"/>
  <c r="I409"/>
  <c r="N409" s="1"/>
  <c r="I408"/>
  <c r="N408" s="1"/>
  <c r="I405"/>
  <c r="N405" s="1"/>
  <c r="I404"/>
  <c r="N404" s="1"/>
  <c r="I399"/>
  <c r="N399" s="1"/>
  <c r="I398"/>
  <c r="N398" s="1"/>
  <c r="I393"/>
  <c r="N393" s="1"/>
  <c r="I392"/>
  <c r="N392" s="1"/>
  <c r="I387"/>
  <c r="N387" s="1"/>
  <c r="I386"/>
  <c r="N386" s="1"/>
  <c r="I383"/>
  <c r="N383" s="1"/>
  <c r="I380"/>
  <c r="N380" s="1"/>
  <c r="I375"/>
  <c r="N375" s="1"/>
  <c r="I374"/>
  <c r="N374" s="1"/>
  <c r="I369"/>
  <c r="N369" s="1"/>
  <c r="I366"/>
  <c r="N366" s="1"/>
  <c r="I363"/>
  <c r="N363" s="1"/>
  <c r="I362"/>
  <c r="N362" s="1"/>
  <c r="I357"/>
  <c r="N357" s="1"/>
  <c r="I354"/>
  <c r="N354" s="1"/>
  <c r="I351"/>
  <c r="N351" s="1"/>
  <c r="I350"/>
  <c r="N350" s="1"/>
  <c r="I345"/>
  <c r="N345" s="1"/>
  <c r="I344"/>
  <c r="N344" s="1"/>
  <c r="AP3" i="1"/>
  <c r="AR3" s="1"/>
  <c r="W2"/>
  <c r="AP2" s="1"/>
  <c r="AR2" s="1"/>
  <c r="AP106"/>
  <c r="AQ106" s="1"/>
  <c r="AP102"/>
  <c r="AQ102" s="1"/>
  <c r="AP98"/>
  <c r="AQ98" s="1"/>
  <c r="AP94"/>
  <c r="AQ94" s="1"/>
  <c r="AP90"/>
  <c r="AQ90" s="1"/>
  <c r="AQ86"/>
  <c r="AR86" s="1"/>
  <c r="AQ56"/>
  <c r="AR56" s="1"/>
  <c r="AR53"/>
  <c r="AR51"/>
  <c r="AR49"/>
  <c r="AQ47"/>
  <c r="AQ45"/>
  <c r="AR45" s="1"/>
  <c r="AQ35"/>
  <c r="AQ33"/>
  <c r="AR33" s="1"/>
  <c r="AQ31"/>
  <c r="AR30"/>
  <c r="AQ28"/>
  <c r="AR28" s="1"/>
  <c r="AQ20"/>
  <c r="AR20" s="1"/>
  <c r="AQ16"/>
  <c r="AR16" s="1"/>
  <c r="AQ14"/>
  <c r="AR14" s="1"/>
  <c r="AR12"/>
  <c r="AQ6"/>
  <c r="AR6" s="1"/>
  <c r="AQ4"/>
  <c r="AR4" s="1"/>
  <c r="AP108"/>
  <c r="AQ107"/>
  <c r="AP104"/>
  <c r="AQ104" s="1"/>
  <c r="AQ103"/>
  <c r="AP100"/>
  <c r="AQ100" s="1"/>
  <c r="AQ99"/>
  <c r="AP96"/>
  <c r="AQ96" s="1"/>
  <c r="AQ95"/>
  <c r="AP92"/>
  <c r="AQ92" s="1"/>
  <c r="AQ91"/>
  <c r="AP88"/>
  <c r="AQ88" s="1"/>
  <c r="AQ87"/>
  <c r="AQ84"/>
  <c r="AR84" s="1"/>
  <c r="AR83"/>
  <c r="AR79"/>
  <c r="AR77"/>
  <c r="AR75"/>
  <c r="AR71"/>
  <c r="AR67"/>
  <c r="AR63"/>
  <c r="AR59"/>
  <c r="AQ48"/>
  <c r="AR48" s="1"/>
  <c r="AQ46"/>
  <c r="AQ44"/>
  <c r="AR44" s="1"/>
  <c r="AR42"/>
  <c r="AR40"/>
  <c r="AR38"/>
  <c r="AR36"/>
  <c r="AQ34"/>
  <c r="AR34" s="1"/>
  <c r="AQ32"/>
  <c r="AR32" s="1"/>
  <c r="AQ29"/>
  <c r="AR29" s="1"/>
  <c r="AQ27"/>
  <c r="AR27" s="1"/>
  <c r="AR25"/>
  <c r="AR23"/>
  <c r="AR21"/>
  <c r="AQ19"/>
  <c r="AR17"/>
  <c r="AQ15"/>
  <c r="AR15" s="1"/>
  <c r="AQ11"/>
  <c r="AR11" s="1"/>
  <c r="AR7"/>
  <c r="AQ5"/>
  <c r="AR5" s="1"/>
  <c r="AR22" l="1"/>
  <c r="AR24"/>
  <c r="AR26"/>
  <c r="AR37"/>
  <c r="AR39"/>
  <c r="AR41"/>
  <c r="AR43"/>
  <c r="AQ89"/>
  <c r="AQ97"/>
  <c r="AQ105"/>
  <c r="AR52"/>
  <c r="AR57"/>
  <c r="AR73"/>
  <c r="AR81"/>
  <c r="AR85"/>
  <c r="AR69"/>
  <c r="AQ101"/>
  <c r="AR61"/>
  <c r="AR19"/>
  <c r="AR46"/>
  <c r="AQ108"/>
  <c r="AR31"/>
  <c r="AR35"/>
  <c r="AR47"/>
  <c r="AR54"/>
  <c r="AQ111"/>
  <c r="AQ113"/>
  <c r="AR8"/>
  <c r="AR10"/>
  <c r="AR18"/>
  <c r="AR58"/>
  <c r="AR60"/>
  <c r="AR62"/>
  <c r="AR64"/>
  <c r="AR66"/>
  <c r="AR68"/>
  <c r="AR70"/>
  <c r="AR72"/>
  <c r="AR74"/>
  <c r="AR76"/>
  <c r="AR78"/>
  <c r="AR80"/>
  <c r="AR82"/>
  <c r="K48" i="2"/>
  <c r="S26"/>
  <c r="H43"/>
  <c r="AC46"/>
  <c r="F26"/>
  <c r="AI18"/>
  <c r="D21"/>
  <c r="AE49"/>
  <c r="H49"/>
  <c r="L27"/>
  <c r="AG43"/>
  <c r="P33"/>
  <c r="AG32"/>
  <c r="AB14"/>
  <c r="H18"/>
  <c r="AC41"/>
  <c r="AB23"/>
  <c r="AA48"/>
  <c r="R19"/>
  <c r="X43"/>
  <c r="P47"/>
  <c r="F27"/>
  <c r="V29"/>
  <c r="I23"/>
  <c r="T46"/>
  <c r="X49"/>
  <c r="L29"/>
  <c r="R22"/>
  <c r="AA14"/>
  <c r="P45"/>
  <c r="AD47"/>
  <c r="I40"/>
  <c r="O41"/>
  <c r="L21"/>
  <c r="AI48"/>
  <c r="AH17"/>
  <c r="AF43"/>
  <c r="I43"/>
  <c r="V46"/>
  <c r="AH40"/>
  <c r="Z25"/>
  <c r="AB42"/>
  <c r="Y34"/>
  <c r="AE40"/>
  <c r="W27"/>
  <c r="F18"/>
  <c r="AF45"/>
  <c r="AB25"/>
  <c r="AJ28"/>
  <c r="Y29"/>
  <c r="H48"/>
  <c r="P26"/>
  <c r="Y31"/>
  <c r="F44"/>
  <c r="Y43"/>
  <c r="N30"/>
  <c r="AE13"/>
  <c r="Y23"/>
  <c r="AJ18"/>
  <c r="Q34"/>
  <c r="Q29"/>
  <c r="M26"/>
  <c r="H26"/>
  <c r="L40"/>
  <c r="AA27"/>
  <c r="AD27"/>
  <c r="W48"/>
  <c r="AI31"/>
  <c r="W46"/>
  <c r="AG17"/>
  <c r="M43"/>
  <c r="AK23"/>
  <c r="AF46"/>
  <c r="J21"/>
  <c r="B35"/>
  <c r="AJ30"/>
  <c r="AE18"/>
  <c r="AH18"/>
  <c r="T45"/>
  <c r="AJ26"/>
  <c r="V35"/>
  <c r="Z45"/>
  <c r="AD25"/>
  <c r="AA49"/>
  <c r="P48"/>
  <c r="T44"/>
  <c r="AJ24"/>
  <c r="N20"/>
  <c r="W18"/>
  <c r="Z13"/>
  <c r="D32"/>
  <c r="AE8"/>
  <c r="F46"/>
  <c r="AI17"/>
  <c r="V47"/>
  <c r="K41"/>
  <c r="AE48"/>
  <c r="AB43"/>
  <c r="N46"/>
  <c r="AK31"/>
  <c r="D11"/>
  <c r="AD24"/>
  <c r="AB45"/>
  <c r="AG40"/>
  <c r="AJ31"/>
  <c r="Z35"/>
  <c r="U43"/>
  <c r="Z22"/>
  <c r="D19"/>
  <c r="B22"/>
  <c r="AB28"/>
  <c r="T24"/>
  <c r="U32"/>
  <c r="AH25"/>
  <c r="AD28"/>
  <c r="AI24"/>
  <c r="C37"/>
  <c r="L35"/>
  <c r="C14"/>
  <c r="AF11"/>
  <c r="AG11"/>
  <c r="W24"/>
  <c r="D36"/>
  <c r="AH14"/>
  <c r="Z8"/>
  <c r="AG14"/>
  <c r="AB46"/>
  <c r="H42"/>
  <c r="B31"/>
  <c r="R23"/>
  <c r="E18"/>
  <c r="AD10"/>
  <c r="B36"/>
  <c r="G24"/>
  <c r="T41"/>
  <c r="AJ13"/>
  <c r="AE23"/>
  <c r="W21"/>
  <c r="Y18"/>
  <c r="C22"/>
  <c r="J47"/>
  <c r="S28"/>
  <c r="T32"/>
  <c r="T49"/>
  <c r="AA8"/>
  <c r="M18"/>
  <c r="M19"/>
  <c r="AG41"/>
  <c r="AA11"/>
  <c r="E14"/>
  <c r="C36"/>
  <c r="AK14"/>
  <c r="R48"/>
  <c r="I26"/>
  <c r="Z9"/>
  <c r="X22"/>
  <c r="AA28"/>
  <c r="AK11"/>
  <c r="AA41"/>
  <c r="M28"/>
  <c r="R18"/>
  <c r="M24"/>
  <c r="N31"/>
  <c r="AF48"/>
  <c r="AG12"/>
  <c r="AA18"/>
  <c r="AF8"/>
  <c r="O48"/>
  <c r="R47"/>
  <c r="W29"/>
  <c r="L32"/>
  <c r="K45"/>
  <c r="AI29"/>
  <c r="V24"/>
  <c r="M34"/>
  <c r="AE29"/>
  <c r="I44"/>
  <c r="T33"/>
  <c r="H40"/>
  <c r="K29"/>
  <c r="V23"/>
  <c r="E32"/>
  <c r="B34"/>
  <c r="AD8"/>
  <c r="G48"/>
  <c r="E34"/>
  <c r="Z21"/>
  <c r="V49"/>
  <c r="AD13"/>
  <c r="AH23"/>
  <c r="Q23"/>
  <c r="AK13"/>
  <c r="M49"/>
  <c r="I28"/>
  <c r="AF34"/>
  <c r="B8"/>
  <c r="U33"/>
  <c r="AF25"/>
  <c r="D25"/>
  <c r="Y26"/>
  <c r="AI46"/>
  <c r="R26"/>
  <c r="Z31"/>
  <c r="N23"/>
  <c r="U40"/>
  <c r="Z28"/>
  <c r="F48"/>
  <c r="AG44"/>
  <c r="C23"/>
  <c r="H32"/>
  <c r="O28"/>
  <c r="AJ20"/>
  <c r="AA44"/>
  <c r="S29"/>
  <c r="AC17"/>
  <c r="D9"/>
  <c r="AC34"/>
  <c r="C18"/>
  <c r="N33"/>
  <c r="C8"/>
  <c r="AI45"/>
  <c r="N47"/>
  <c r="F43"/>
  <c r="AH10"/>
  <c r="E37"/>
  <c r="Z48"/>
  <c r="T22"/>
  <c r="E9"/>
  <c r="F24"/>
  <c r="AC21"/>
  <c r="V32"/>
  <c r="R29"/>
  <c r="W43"/>
  <c r="AH27"/>
  <c r="O40"/>
  <c r="AC9"/>
  <c r="AI26"/>
  <c r="J30"/>
  <c r="J34"/>
  <c r="AB8"/>
  <c r="O32"/>
  <c r="AK21"/>
  <c r="Y48"/>
  <c r="AH26"/>
  <c r="D17"/>
  <c r="AE43"/>
  <c r="T20"/>
  <c r="E33"/>
  <c r="D31"/>
  <c r="AF28"/>
  <c r="U29"/>
  <c r="S27"/>
  <c r="L26"/>
  <c r="AI27"/>
  <c r="AF35"/>
  <c r="AG21"/>
  <c r="Q45"/>
  <c r="Q49"/>
  <c r="J40"/>
  <c r="Y33"/>
  <c r="G18"/>
  <c r="AH44"/>
  <c r="AD45"/>
  <c r="AE21"/>
  <c r="N44"/>
  <c r="AF24"/>
  <c r="AB32"/>
  <c r="P23"/>
  <c r="F19"/>
  <c r="AI16"/>
  <c r="V34"/>
  <c r="AA32"/>
  <c r="AC19"/>
  <c r="AF19"/>
  <c r="Z14"/>
  <c r="AG29"/>
  <c r="M27"/>
  <c r="X26"/>
  <c r="T40"/>
  <c r="S22"/>
  <c r="W33"/>
  <c r="AD41"/>
  <c r="L23"/>
  <c r="AD20"/>
  <c r="F45"/>
  <c r="AE41"/>
  <c r="S40"/>
  <c r="Q28"/>
  <c r="AD42"/>
  <c r="AB9"/>
  <c r="V27"/>
  <c r="Y21"/>
  <c r="G19"/>
  <c r="V31"/>
  <c r="N22"/>
  <c r="L49"/>
  <c r="AC12"/>
  <c r="E21"/>
  <c r="AJ17"/>
  <c r="G21"/>
  <c r="T30"/>
  <c r="AK19"/>
  <c r="AD18"/>
  <c r="S48"/>
  <c r="AF26"/>
  <c r="F40"/>
  <c r="R45"/>
  <c r="AK27"/>
  <c r="AI22"/>
  <c r="P32"/>
  <c r="AB47"/>
  <c r="O29"/>
  <c r="AB24"/>
  <c r="B28"/>
  <c r="Z29"/>
  <c r="I46"/>
  <c r="L25"/>
  <c r="S41"/>
  <c r="L42"/>
  <c r="K49"/>
  <c r="O27"/>
  <c r="H44"/>
  <c r="AC45"/>
  <c r="AD46"/>
  <c r="F25"/>
  <c r="X35"/>
  <c r="H23"/>
  <c r="V20"/>
  <c r="C28"/>
  <c r="N28"/>
  <c r="Y41"/>
  <c r="AJ10"/>
  <c r="AD26"/>
  <c r="M21"/>
  <c r="Z42"/>
  <c r="AJ35"/>
  <c r="AG28"/>
  <c r="Z49"/>
  <c r="AK24"/>
  <c r="AF31"/>
  <c r="L46"/>
  <c r="K32"/>
  <c r="AJ23"/>
  <c r="AE16"/>
  <c r="H22"/>
  <c r="V45"/>
  <c r="AE45"/>
  <c r="R34"/>
  <c r="D23"/>
  <c r="W26"/>
  <c r="AG46"/>
  <c r="AC24"/>
  <c r="AI49"/>
  <c r="P27"/>
  <c r="AJ32"/>
  <c r="O31"/>
  <c r="AA17"/>
  <c r="V19"/>
  <c r="P25"/>
  <c r="AF47"/>
  <c r="AD29"/>
  <c r="K33"/>
  <c r="R32"/>
  <c r="V33"/>
  <c r="B37"/>
  <c r="AE28"/>
  <c r="J28"/>
  <c r="AB49"/>
  <c r="Y44"/>
  <c r="AF12"/>
  <c r="AB18"/>
  <c r="Z44"/>
  <c r="AH34"/>
  <c r="D35"/>
  <c r="N25"/>
  <c r="AH19"/>
  <c r="Z34"/>
  <c r="D16"/>
  <c r="Z12"/>
  <c r="AE22"/>
  <c r="AD17"/>
  <c r="X24"/>
  <c r="Y32"/>
  <c r="H24"/>
  <c r="R44"/>
  <c r="T25"/>
  <c r="AI13"/>
  <c r="G45"/>
  <c r="W45"/>
  <c r="B25"/>
  <c r="E23"/>
  <c r="D14"/>
  <c r="D15"/>
  <c r="C21"/>
  <c r="D18"/>
  <c r="Z24"/>
  <c r="AH45"/>
  <c r="H35"/>
  <c r="I32"/>
  <c r="K19"/>
  <c r="AD9"/>
  <c r="AK17"/>
  <c r="L18"/>
  <c r="R24"/>
  <c r="AK6"/>
  <c r="D12"/>
  <c r="D27"/>
  <c r="AI11"/>
  <c r="AC8"/>
  <c r="V28"/>
  <c r="J31"/>
  <c r="J43"/>
  <c r="H30"/>
  <c r="T28"/>
  <c r="G27"/>
  <c r="X21"/>
  <c r="AF15"/>
  <c r="Q31"/>
  <c r="T47"/>
  <c r="W44"/>
  <c r="AH21"/>
  <c r="AI32"/>
  <c r="AJ19"/>
  <c r="AB26"/>
  <c r="J45"/>
  <c r="S49"/>
  <c r="AG31"/>
  <c r="M33"/>
  <c r="AJ8"/>
  <c r="J44"/>
  <c r="K43"/>
  <c r="AA33"/>
  <c r="V30"/>
  <c r="AJ12"/>
  <c r="B3"/>
  <c r="S23"/>
  <c r="N48"/>
  <c r="J27"/>
  <c r="B10"/>
  <c r="B17"/>
  <c r="N32"/>
  <c r="AC33"/>
  <c r="AC11"/>
  <c r="W32"/>
  <c r="Z15"/>
  <c r="K28"/>
  <c r="M44"/>
  <c r="X33"/>
  <c r="L34"/>
  <c r="AA24"/>
  <c r="AD49"/>
  <c r="W40"/>
  <c r="AJ9"/>
  <c r="C9"/>
  <c r="X47"/>
  <c r="L41"/>
  <c r="AG13"/>
  <c r="E19"/>
  <c r="B20"/>
  <c r="D24"/>
  <c r="I18"/>
  <c r="J41"/>
  <c r="X29"/>
  <c r="AA19"/>
  <c r="I19"/>
  <c r="J26"/>
  <c r="H19"/>
  <c r="B15"/>
  <c r="AB12"/>
  <c r="AH8"/>
  <c r="G44"/>
  <c r="S34"/>
  <c r="E12"/>
  <c r="B24"/>
  <c r="Y40"/>
  <c r="R30"/>
  <c r="N41"/>
  <c r="AB29"/>
  <c r="X25"/>
  <c r="B6"/>
  <c r="F23"/>
  <c r="C11"/>
  <c r="X20"/>
  <c r="T21"/>
  <c r="AD23"/>
  <c r="AB11"/>
  <c r="D30"/>
  <c r="AA31"/>
  <c r="H31"/>
  <c r="AB15"/>
  <c r="U34"/>
  <c r="AF33"/>
  <c r="AH11"/>
  <c r="AH46"/>
  <c r="AK5"/>
  <c r="Y22"/>
  <c r="AE24"/>
  <c r="B32"/>
  <c r="AE14"/>
  <c r="K31"/>
  <c r="M22"/>
  <c r="AF18"/>
  <c r="K34"/>
  <c r="E28"/>
  <c r="Q40"/>
  <c r="N18"/>
  <c r="X32"/>
  <c r="AE46"/>
  <c r="J32"/>
  <c r="AB13"/>
  <c r="AH32"/>
  <c r="AE44"/>
  <c r="AI41"/>
  <c r="U28"/>
  <c r="AK16"/>
  <c r="Y24"/>
  <c r="AA43"/>
  <c r="AA26"/>
  <c r="I45"/>
  <c r="G22"/>
  <c r="L47"/>
  <c r="T27"/>
  <c r="P44"/>
  <c r="AF23"/>
  <c r="N43"/>
  <c r="AA12"/>
  <c r="I21"/>
  <c r="T35"/>
  <c r="R49"/>
  <c r="O33"/>
  <c r="AA45"/>
  <c r="Z27"/>
  <c r="O26"/>
  <c r="Y46"/>
  <c r="Z18"/>
  <c r="U24"/>
  <c r="H27"/>
  <c r="X44"/>
  <c r="AB19"/>
  <c r="AC14"/>
  <c r="X23"/>
  <c r="N19"/>
  <c r="AG49"/>
  <c r="N29"/>
  <c r="T43"/>
  <c r="V44"/>
  <c r="V21"/>
  <c r="AB30"/>
  <c r="Z47"/>
  <c r="L45"/>
  <c r="V25"/>
  <c r="F47"/>
  <c r="AG27"/>
  <c r="H21"/>
  <c r="J42"/>
  <c r="AF44"/>
  <c r="AI12"/>
  <c r="V42"/>
  <c r="G26"/>
  <c r="Z23"/>
  <c r="AK22"/>
  <c r="AD21"/>
  <c r="H34"/>
  <c r="C12"/>
  <c r="AH20"/>
  <c r="R28"/>
  <c r="AC44"/>
  <c r="U18"/>
  <c r="X19"/>
  <c r="AA13"/>
  <c r="J48"/>
  <c r="I33"/>
  <c r="AC18"/>
  <c r="U23"/>
  <c r="E22"/>
  <c r="E8"/>
  <c r="N45"/>
  <c r="AD43"/>
  <c r="AD33"/>
  <c r="L22"/>
  <c r="R25"/>
  <c r="O34"/>
  <c r="J49"/>
  <c r="AH35"/>
  <c r="AD22"/>
  <c r="N42"/>
  <c r="M31"/>
  <c r="M23"/>
  <c r="AI28"/>
  <c r="D28"/>
  <c r="R41"/>
  <c r="AA9"/>
  <c r="G49"/>
  <c r="Q22"/>
  <c r="C3"/>
  <c r="AE32"/>
  <c r="AI9"/>
  <c r="S43"/>
  <c r="AD30"/>
  <c r="AD19"/>
  <c r="V48"/>
  <c r="W23"/>
  <c r="C32"/>
  <c r="C16"/>
  <c r="AF14"/>
  <c r="AJ21"/>
  <c r="H41"/>
  <c r="B11"/>
  <c r="J20"/>
  <c r="R27"/>
  <c r="X42"/>
  <c r="B16"/>
  <c r="AH24"/>
  <c r="D20"/>
  <c r="Z11"/>
  <c r="AJ16"/>
  <c r="AK29"/>
  <c r="L44"/>
  <c r="AH28"/>
  <c r="P41"/>
  <c r="F21"/>
  <c r="E36"/>
  <c r="K22"/>
  <c r="AE26"/>
  <c r="M45"/>
  <c r="AI23"/>
  <c r="P40"/>
  <c r="S18"/>
  <c r="X28"/>
  <c r="K27"/>
  <c r="V18"/>
  <c r="Q24"/>
  <c r="U31"/>
  <c r="H46"/>
  <c r="N26"/>
  <c r="B9"/>
  <c r="T23"/>
  <c r="J19"/>
  <c r="Y49"/>
  <c r="AG33"/>
  <c r="W49"/>
  <c r="X27"/>
  <c r="Z41"/>
  <c r="L28"/>
  <c r="AI14"/>
  <c r="AK28"/>
  <c r="AF16"/>
  <c r="AJ25"/>
  <c r="S33"/>
  <c r="AC13"/>
  <c r="AF17"/>
  <c r="U48"/>
  <c r="S45"/>
  <c r="AG45"/>
  <c r="O44"/>
  <c r="X46"/>
  <c r="X34"/>
  <c r="AH31"/>
  <c r="T42"/>
  <c r="U46"/>
  <c r="C24"/>
  <c r="K18"/>
  <c r="AJ15"/>
  <c r="D22"/>
  <c r="N24"/>
  <c r="B2"/>
  <c r="AB35"/>
  <c r="G40"/>
  <c r="M48"/>
  <c r="Y27"/>
  <c r="AK12"/>
  <c r="G23"/>
  <c r="B4"/>
  <c r="U41"/>
  <c r="AJ29"/>
  <c r="AK2"/>
  <c r="H20"/>
  <c r="K23"/>
  <c r="L33"/>
  <c r="AJ4"/>
  <c r="O22"/>
  <c r="S31"/>
  <c r="AB20"/>
  <c r="AF9"/>
  <c r="AE17"/>
  <c r="AA29"/>
  <c r="AF22"/>
  <c r="AH29"/>
  <c r="T31"/>
  <c r="AC31"/>
  <c r="AI43"/>
  <c r="AH22"/>
  <c r="AA40"/>
  <c r="AD48"/>
  <c r="AD31"/>
  <c r="P30"/>
  <c r="AB31"/>
  <c r="AH33"/>
  <c r="Z16"/>
  <c r="R42"/>
  <c r="AG24"/>
  <c r="W31"/>
  <c r="AC32"/>
  <c r="L24"/>
  <c r="P31"/>
  <c r="S32"/>
  <c r="AF41"/>
  <c r="Y45"/>
  <c r="AF21"/>
  <c r="AH30"/>
  <c r="U19"/>
  <c r="AF42"/>
  <c r="F22"/>
  <c r="AA16"/>
  <c r="AF32"/>
  <c r="R43"/>
  <c r="F42"/>
  <c r="B27"/>
  <c r="E13"/>
  <c r="K46"/>
  <c r="G41"/>
  <c r="AG8"/>
  <c r="R21"/>
  <c r="Y19"/>
  <c r="J23"/>
  <c r="S44"/>
  <c r="L20"/>
  <c r="K40"/>
  <c r="J22"/>
  <c r="N27"/>
  <c r="AB27"/>
  <c r="P20"/>
  <c r="AF29"/>
  <c r="AD32"/>
  <c r="AH48"/>
  <c r="P19"/>
  <c r="D33"/>
  <c r="M41"/>
  <c r="AG34"/>
  <c r="I27"/>
  <c r="AD11"/>
  <c r="H25"/>
  <c r="D37"/>
  <c r="H45"/>
  <c r="M46"/>
  <c r="AD12"/>
  <c r="D13"/>
  <c r="C17"/>
  <c r="E29"/>
  <c r="O19"/>
  <c r="W41"/>
  <c r="O49"/>
  <c r="R35"/>
  <c r="AC23"/>
  <c r="U26"/>
  <c r="W34"/>
  <c r="AB10"/>
  <c r="Q21"/>
  <c r="X30"/>
  <c r="I49"/>
  <c r="J46"/>
  <c r="U44"/>
  <c r="F41"/>
  <c r="M29"/>
  <c r="H29"/>
  <c r="P43"/>
  <c r="P35"/>
  <c r="O46"/>
  <c r="I41"/>
  <c r="Z46"/>
  <c r="X41"/>
  <c r="AC26"/>
  <c r="U45"/>
  <c r="N40"/>
  <c r="AB21"/>
  <c r="AF13"/>
  <c r="AH43"/>
  <c r="AH15"/>
  <c r="Q44"/>
  <c r="AB33"/>
  <c r="F49"/>
  <c r="AC40"/>
  <c r="Q33"/>
  <c r="AD44"/>
  <c r="AD35"/>
  <c r="C6"/>
  <c r="P42"/>
  <c r="L31"/>
  <c r="L48"/>
  <c r="T19"/>
  <c r="V40"/>
  <c r="AG23"/>
  <c r="B19"/>
  <c r="B21"/>
  <c r="W19"/>
  <c r="AK32"/>
  <c r="X31"/>
  <c r="Z33"/>
  <c r="B30"/>
  <c r="AB40"/>
  <c r="Z40"/>
  <c r="S19"/>
  <c r="E16"/>
  <c r="N34"/>
  <c r="AH41"/>
  <c r="B33"/>
  <c r="C13"/>
  <c r="G43"/>
  <c r="AJ5"/>
  <c r="I48"/>
  <c r="V43"/>
  <c r="K26"/>
  <c r="Q19"/>
  <c r="C19"/>
  <c r="D29"/>
  <c r="AC22"/>
  <c r="H47"/>
  <c r="AG22"/>
  <c r="B13"/>
  <c r="J35"/>
  <c r="Q48"/>
  <c r="X40"/>
  <c r="Z10"/>
  <c r="U22"/>
  <c r="X18"/>
  <c r="Z20"/>
  <c r="AF20"/>
  <c r="H33"/>
  <c r="L43"/>
  <c r="AH47"/>
  <c r="S24"/>
  <c r="AI40"/>
  <c r="Q43"/>
  <c r="V22"/>
  <c r="T34"/>
  <c r="P22"/>
  <c r="AG19"/>
  <c r="G46"/>
  <c r="E24"/>
  <c r="AF40"/>
  <c r="AH12"/>
  <c r="AK18"/>
  <c r="B23"/>
  <c r="V41"/>
  <c r="AI19"/>
  <c r="B29"/>
  <c r="C5"/>
  <c r="E27"/>
  <c r="K44"/>
  <c r="S21"/>
  <c r="C34"/>
  <c r="AC43"/>
  <c r="N49"/>
  <c r="AE19"/>
  <c r="AF10"/>
  <c r="AC27"/>
  <c r="AH13"/>
  <c r="E17"/>
  <c r="F20"/>
  <c r="AA23"/>
  <c r="X45"/>
  <c r="AJ22"/>
  <c r="AE11"/>
  <c r="K21"/>
  <c r="Q27"/>
  <c r="AK3"/>
  <c r="AF30"/>
  <c r="AJ6"/>
  <c r="E26"/>
  <c r="I34"/>
  <c r="D8"/>
  <c r="AE9"/>
  <c r="AG26"/>
  <c r="AK8"/>
  <c r="Q32"/>
  <c r="AB22"/>
  <c r="C26"/>
  <c r="O24"/>
  <c r="D10"/>
  <c r="O23"/>
  <c r="AB17"/>
  <c r="E11"/>
  <c r="AA46"/>
  <c r="AC49"/>
  <c r="P21"/>
  <c r="AH42"/>
  <c r="H28"/>
  <c r="J18"/>
  <c r="AC29"/>
  <c r="T26"/>
  <c r="P49"/>
  <c r="AD15"/>
  <c r="AH16"/>
  <c r="X48"/>
  <c r="U27"/>
  <c r="AC16"/>
  <c r="N35"/>
  <c r="D26"/>
  <c r="J29"/>
  <c r="U21"/>
  <c r="Z43"/>
  <c r="AK9"/>
  <c r="S46"/>
  <c r="R46"/>
  <c r="J24"/>
  <c r="M32"/>
  <c r="AB34"/>
  <c r="Q18"/>
  <c r="R20"/>
  <c r="I31"/>
  <c r="Z32"/>
  <c r="T48"/>
  <c r="P24"/>
  <c r="AI8"/>
  <c r="Z17"/>
  <c r="AE27"/>
  <c r="AJ34"/>
  <c r="AJ27"/>
  <c r="P34"/>
  <c r="C31"/>
  <c r="I22"/>
  <c r="AH49"/>
  <c r="L19"/>
  <c r="I29"/>
  <c r="T18"/>
  <c r="AJ3"/>
  <c r="R31"/>
  <c r="P18"/>
  <c r="O18"/>
  <c r="AH9"/>
  <c r="Q26"/>
  <c r="AG9"/>
  <c r="O45"/>
  <c r="I24"/>
  <c r="P29"/>
  <c r="C29"/>
  <c r="AE12"/>
  <c r="AB44"/>
  <c r="K24"/>
  <c r="AC48"/>
  <c r="AB48"/>
  <c r="AE31"/>
  <c r="Q41"/>
  <c r="V26"/>
  <c r="AC28"/>
  <c r="AG48"/>
  <c r="AD14"/>
  <c r="M40"/>
  <c r="J33"/>
  <c r="W28"/>
  <c r="AK26"/>
  <c r="R40"/>
  <c r="AD16"/>
  <c r="U49"/>
  <c r="AJ11"/>
  <c r="AD40"/>
  <c r="AJ14"/>
  <c r="Y28"/>
  <c r="AG18"/>
  <c r="Q46"/>
  <c r="C2"/>
  <c r="B26"/>
  <c r="AF49"/>
  <c r="AG16"/>
  <c r="AI21"/>
  <c r="W22"/>
  <c r="P46"/>
  <c r="Z30"/>
  <c r="Z26"/>
  <c r="Z19"/>
  <c r="P28"/>
  <c r="R33"/>
  <c r="B14"/>
  <c r="T29"/>
  <c r="AF27"/>
  <c r="D34"/>
  <c r="AB41"/>
  <c r="C27"/>
  <c r="AE33"/>
  <c r="B18"/>
  <c r="O21"/>
  <c r="AA21"/>
  <c r="J25"/>
  <c r="C33"/>
  <c r="AB16"/>
  <c r="AI44"/>
  <c r="AA22"/>
  <c r="L30"/>
  <c r="N21"/>
  <c r="B5"/>
  <c r="O43"/>
  <c r="AD34"/>
  <c r="E31"/>
  <c r="L11" l="1"/>
  <c r="L12"/>
  <c r="M11"/>
  <c r="M9"/>
  <c r="L10"/>
  <c r="L9"/>
  <c r="M8"/>
  <c r="M12"/>
</calcChain>
</file>

<file path=xl/sharedStrings.xml><?xml version="1.0" encoding="utf-8"?>
<sst xmlns="http://schemas.openxmlformats.org/spreadsheetml/2006/main" count="3765" uniqueCount="1324">
  <si>
    <t>'Zinn''' (Germanische Sprachen|altgermanische Bezeichnung: z. B. althochdeutsch ''zin'' = Stab, Zinn). Das Metall Zinn wurde ursprünglich in Stabform gegossen. Im Lateinischen heißt Zinn "''stannum''", daher rührt auch das chem. Symbol Sn.</t>
  </si>
  <si>
    <t>Die Entdeckung des Elementes Terbium ist sehr verworren und bis heute nicht geklärt. Allgemein sieht man Carl Gustav Mosander als Entdecker an, der Anfang der 1840er die von Johan Gadolin entdeckte ''Yttererde'' untersuchte. Die vermeintlich reine Terbium-Verbindung war aber eine Mischung mehrerer Lanthanide (Bunsen). Reines Terbium wurde erst mit Aufkommen der Ionenaustauschtechnik nach 1945 hergestellt. Aus dem Namen der schwedischen Grube Ytterby leitete Mosander die Elementbezeichnung ab.</t>
  </si>
  <si>
    <t>Thorium ist benannt nach dem germanischen Gott Thor.</t>
  </si>
  <si>
    <t>Thulium (nach ''Thule'', dem mythischen Namen für Skandinavien) wurde 1879 von dem schwedischen Chemiker Per Teodor Cleve zusammen mit Holmium in Erbia (Erbiumoxid) entdeckt (siehe Holmium</t>
  </si>
  <si>
    <t xml:space="preserve">Der Name Ununpentium ist abgeleitet von lat. ''unus'' = eins (2x) und griech. ''pente'' = fünf - entsprechend der Ordnungszahl 115. </t>
  </si>
  <si>
    <t>Vanadium''', auch: Vanadin (v.altnord.: ''Vanadis'' [Name der germanischen Göttin der Schönheit Freya; nach dem farbenprächtigen Aussehen mancher V-Verbindungen]). Vanadinverbindungen zeigen eine große und schöne Farbenvielfalt. Deshalb benannte es Sefström nach Freya, der nordischen Göttin der Schönheit, die den Beinamen Vanadis trug.</t>
  </si>
  <si>
    <t>Er nannte das Mineral lupi spuma, was aus dem Lateinischen übersetzt soviel wie "Wolf(s)-Schaum bedeutet. Später wurde aus Wolfschaum Wolfrahm. Und schließlich entstand das heute bekannte Wort Wolfram.</t>
  </si>
  <si>
    <t>Wortherkunft</t>
  </si>
  <si>
    <t>gelb-grün</t>
  </si>
  <si>
    <t>Ar</t>
  </si>
  <si>
    <t>Argon</t>
  </si>
  <si>
    <t>K</t>
  </si>
  <si>
    <t>Kalium</t>
  </si>
  <si>
    <t>89.2</t>
  </si>
  <si>
    <t>violett</t>
  </si>
  <si>
    <t>Ca</t>
  </si>
  <si>
    <t>Calcium</t>
  </si>
  <si>
    <t>178.2</t>
  </si>
  <si>
    <t>ziegelrot</t>
  </si>
  <si>
    <t>Sc</t>
  </si>
  <si>
    <t>Scandium</t>
  </si>
  <si>
    <t>377.8</t>
  </si>
  <si>
    <t>Ti</t>
  </si>
  <si>
    <t>Titan</t>
  </si>
  <si>
    <t>469.9</t>
  </si>
  <si>
    <t>V</t>
  </si>
  <si>
    <t>Vanadium</t>
  </si>
  <si>
    <t>Mexiko</t>
  </si>
  <si>
    <t>514.2</t>
  </si>
  <si>
    <t>Cr</t>
  </si>
  <si>
    <t>Chrom</t>
  </si>
  <si>
    <t>396.6</t>
  </si>
  <si>
    <t>grau</t>
  </si>
  <si>
    <t>Mn</t>
  </si>
  <si>
    <t>Mangan</t>
  </si>
  <si>
    <t>280.7</t>
  </si>
  <si>
    <t>Fe</t>
  </si>
  <si>
    <t>Eisen</t>
  </si>
  <si>
    <t>416.3</t>
  </si>
  <si>
    <t>Co</t>
  </si>
  <si>
    <t>Cobalt</t>
  </si>
  <si>
    <t>424.7</t>
  </si>
  <si>
    <t>Ni</t>
  </si>
  <si>
    <t>Nickel</t>
  </si>
  <si>
    <t>429.7</t>
  </si>
  <si>
    <t>Cu</t>
  </si>
  <si>
    <t>Kupfer</t>
  </si>
  <si>
    <t>338.3</t>
  </si>
  <si>
    <t>orange-rot</t>
  </si>
  <si>
    <t>Zn</t>
  </si>
  <si>
    <t>Zink</t>
  </si>
  <si>
    <t>130.7</t>
  </si>
  <si>
    <t>blau-weiß</t>
  </si>
  <si>
    <t>Ga</t>
  </si>
  <si>
    <t>Gallium</t>
  </si>
  <si>
    <t>Ge</t>
  </si>
  <si>
    <t>Germanium</t>
  </si>
  <si>
    <t>376.6</t>
  </si>
  <si>
    <t>As</t>
  </si>
  <si>
    <t>Arsen</t>
  </si>
  <si>
    <t>302.5</t>
  </si>
  <si>
    <t>Se</t>
  </si>
  <si>
    <t>Selen</t>
  </si>
  <si>
    <t>227.1</t>
  </si>
  <si>
    <t>Br</t>
  </si>
  <si>
    <t>Brom</t>
  </si>
  <si>
    <t>111.9</t>
  </si>
  <si>
    <t>Kr</t>
  </si>
  <si>
    <t>Krypton</t>
  </si>
  <si>
    <t>Rb</t>
  </si>
  <si>
    <t>Rubidium</t>
  </si>
  <si>
    <t>80.9</t>
  </si>
  <si>
    <t>Sr</t>
  </si>
  <si>
    <t>Strontium</t>
  </si>
  <si>
    <t>164.4</t>
  </si>
  <si>
    <t>karminrot</t>
  </si>
  <si>
    <t>Y</t>
  </si>
  <si>
    <t>Yttrium</t>
  </si>
  <si>
    <t>Finnland</t>
  </si>
  <si>
    <t>421.3</t>
  </si>
  <si>
    <t>Zr</t>
  </si>
  <si>
    <t>Zirconium</t>
  </si>
  <si>
    <t>608.8</t>
  </si>
  <si>
    <t>Nb</t>
  </si>
  <si>
    <t>Niob</t>
  </si>
  <si>
    <t>725.9</t>
  </si>
  <si>
    <t>Mo</t>
  </si>
  <si>
    <t>Molybdän</t>
  </si>
  <si>
    <t>658.1</t>
  </si>
  <si>
    <t>Tc</t>
  </si>
  <si>
    <t>Technetium</t>
  </si>
  <si>
    <t>Italien</t>
  </si>
  <si>
    <t>Ru</t>
  </si>
  <si>
    <t>Ruthenium</t>
  </si>
  <si>
    <t>Rußland</t>
  </si>
  <si>
    <t>642.7</t>
  </si>
  <si>
    <t>Rh</t>
  </si>
  <si>
    <t>Rhodium</t>
  </si>
  <si>
    <t>556.9</t>
  </si>
  <si>
    <t>Pd</t>
  </si>
  <si>
    <t>Palladium</t>
  </si>
  <si>
    <t>378.2</t>
  </si>
  <si>
    <t>Ag</t>
  </si>
  <si>
    <t>Silber</t>
  </si>
  <si>
    <t>284.6</t>
  </si>
  <si>
    <t>Cd</t>
  </si>
  <si>
    <t>Cadmium</t>
  </si>
  <si>
    <t>In</t>
  </si>
  <si>
    <t>Indium</t>
  </si>
  <si>
    <t>243.3</t>
  </si>
  <si>
    <t>violettblau</t>
  </si>
  <si>
    <t>Sn</t>
  </si>
  <si>
    <t>Zinn</t>
  </si>
  <si>
    <t>302.1</t>
  </si>
  <si>
    <t>Sb</t>
  </si>
  <si>
    <t>Antimon</t>
  </si>
  <si>
    <t>262.3</t>
  </si>
  <si>
    <t>Te</t>
  </si>
  <si>
    <t>Tellur</t>
  </si>
  <si>
    <t>Rumänien</t>
  </si>
  <si>
    <t>196.7</t>
  </si>
  <si>
    <t>Iod</t>
  </si>
  <si>
    <t>106.8</t>
  </si>
  <si>
    <t>schwarzgrau</t>
  </si>
  <si>
    <t>Xe</t>
  </si>
  <si>
    <t>Xenon</t>
  </si>
  <si>
    <t>Cs</t>
  </si>
  <si>
    <t>76.1</t>
  </si>
  <si>
    <t>blau</t>
  </si>
  <si>
    <t>Ba</t>
  </si>
  <si>
    <t>Barium</t>
  </si>
  <si>
    <t>gelbgrün</t>
  </si>
  <si>
    <t>L-Name</t>
  </si>
  <si>
    <t>E-Name</t>
  </si>
  <si>
    <t>Silver</t>
  </si>
  <si>
    <t>Copper</t>
  </si>
  <si>
    <t>Iron</t>
  </si>
  <si>
    <t>Mercury</t>
  </si>
  <si>
    <t>Lead</t>
  </si>
  <si>
    <t>Antimony</t>
  </si>
  <si>
    <t>Tin</t>
  </si>
  <si>
    <t>Scandium (lat. Scandia für Skandinavien)</t>
  </si>
  <si>
    <t xml:space="preserve">Titan </t>
  </si>
  <si>
    <t>Der Name Kobalt leitet sich von Kobold ab, weil Kobolde in früherer Vorstellung Erze mit diesem (damals) unbearbeitbaren Mineral verunreinigten. Das Symbol Co leitet sich aus der lateinischen Bezeichnung cobaltum ab.</t>
  </si>
  <si>
    <t>Ähnlich wie beim Kobalt wurde hier ein Wort für böse Geister zum Namensgeber, man verwechselte das wertlose Nickel oft mit Silber und glaubte sich dann vom bösen Erdgeist „Nickel“ betrogen.</t>
  </si>
  <si>
    <t>Kupfer (von lat. cuprum: „Kupfer, Metall aus Zypern“).</t>
  </si>
  <si>
    <t>Der Name Zink kommt von ''Zinke, Zind'' „Zahn, Zacke“, da Zink zackenförmig erstarrt.</t>
  </si>
  <si>
    <t>Gallium ist benannt nach ''Gallien'', dem lateinischen Namen für Frankreich. Möglich wäre auch, dass sich der Entdecker hier selbst verewigt hat, denn ''Le coq'' ist französisch und bedeutet ''der Hahn'', der auf lateinisch ''gallus'' heißt.</t>
  </si>
  <si>
    <t>Germanium (von lat. ''Germania'' "Deutschland", dem Vaterland des Entdeckers Clemens Winkler.</t>
  </si>
  <si>
    <t>Der Name Arsen geht unmittelbar auf das griechische arsenikón zurück, die Bezeichnung des Arsenminerals Auripigment. Die griechische Bezeichnung scheint ihrerseits ihren Ursprung im Mittelpersischen al-zarnik (= goldfarben) zu haben und gelangte wohl durch semitische Vermittlung ins Griechische. Volksetymologisch wurde der Name fälschlicherweise vom griechischen Wort arsenikós abgeleitet, das sich etwa mit männlich/stark übersetzen lässt.</t>
  </si>
  <si>
    <t>Selen – benannt nach der griechischen Mondgöttin Selene - wurde im Bleikammerschlamm einer Schwefelsäurefabrik entdeckt, der neben Selen auch Tellur (von lat. ''tellus'' für ''Erde'') enthielt.</t>
  </si>
  <si>
    <t>Brom (von altgriechisch (brómos) = Gestank, wegen des beißenden Geruchs von Bromdämpfen)</t>
  </si>
  <si>
    <t>Krypton (griechisch krypton = verborgen) wurde im "Rückstand" verdampfter Luft entdeckt.</t>
  </si>
  <si>
    <t>Aradius</t>
  </si>
  <si>
    <t>Enthalpie</t>
  </si>
  <si>
    <t>Wert</t>
  </si>
  <si>
    <t>Flamme</t>
  </si>
  <si>
    <t>Farbe</t>
  </si>
  <si>
    <t>Verwendung</t>
  </si>
  <si>
    <t>Bild-Verwendung</t>
  </si>
  <si>
    <t>Bild-Element</t>
  </si>
  <si>
    <t>E-Gruppe</t>
  </si>
  <si>
    <t>Sonstiges-kurz</t>
  </si>
  <si>
    <t>alles</t>
  </si>
  <si>
    <t>alles-1</t>
  </si>
  <si>
    <t>alles-2</t>
  </si>
  <si>
    <t>alles-3</t>
  </si>
  <si>
    <t>[[radioaktiv]]es&amp;nbsp;</t>
  </si>
  <si>
    <t>E-Jahr</t>
  </si>
  <si>
    <t>E-von</t>
  </si>
  <si>
    <t>E-Land</t>
  </si>
  <si>
    <t>Segré, Perrier</t>
  </si>
  <si>
    <t>Marinsky, Coryell</t>
  </si>
  <si>
    <t>Curie</t>
  </si>
  <si>
    <t>Corson, Mackenzie</t>
  </si>
  <si>
    <t>Dorn</t>
  </si>
  <si>
    <t>Perey</t>
  </si>
  <si>
    <t>Debierne, Giesel</t>
  </si>
  <si>
    <t>Berzelius</t>
  </si>
  <si>
    <t>Hahn, Meitner</t>
  </si>
  <si>
    <t>Klaproth</t>
  </si>
  <si>
    <t>McMillan, Abelson</t>
  </si>
  <si>
    <t>Seaborg, McMillan</t>
  </si>
  <si>
    <t>Seaborg, James, Morg</t>
  </si>
  <si>
    <t>Seaborg, James, Ghio</t>
  </si>
  <si>
    <t>Seaborg, Thomson</t>
  </si>
  <si>
    <t>Seaborg,Thomson</t>
  </si>
  <si>
    <t>Thomson, Ghiorso</t>
  </si>
  <si>
    <t>Nobel-Institut</t>
  </si>
  <si>
    <t>USA-Gruppe</t>
  </si>
  <si>
    <t>UdSSR-Gruppe</t>
  </si>
  <si>
    <t>GSI Darmstadt</t>
  </si>
  <si>
    <t>Boyle, Cavendish</t>
  </si>
  <si>
    <t>Ramsay</t>
  </si>
  <si>
    <t>Arfvedson</t>
  </si>
  <si>
    <t>Vauquelin</t>
  </si>
  <si>
    <t>Gay-Lussac, Thénard</t>
  </si>
  <si>
    <t>Scheele, Rutherford</t>
  </si>
  <si>
    <t>Scheele</t>
  </si>
  <si>
    <t>Moissan</t>
  </si>
  <si>
    <t>Davy</t>
  </si>
  <si>
    <t>Davy,Bussy</t>
  </si>
  <si>
    <t>Oersted</t>
  </si>
  <si>
    <t>Brand</t>
  </si>
  <si>
    <t>Rayleigh, Ramsay</t>
  </si>
  <si>
    <t>Nilson</t>
  </si>
  <si>
    <t>Sefström</t>
  </si>
  <si>
    <t>Gahn</t>
  </si>
  <si>
    <t>Brandt</t>
  </si>
  <si>
    <t>Cronstedt</t>
  </si>
  <si>
    <t>de Boisbaudran</t>
  </si>
  <si>
    <t>Winkler</t>
  </si>
  <si>
    <t>Balard</t>
  </si>
  <si>
    <t>Ramsay,Travers</t>
  </si>
  <si>
    <t>Bunsen</t>
  </si>
  <si>
    <t>Crawford</t>
  </si>
  <si>
    <t>Marignac</t>
  </si>
  <si>
    <t>Hatchett</t>
  </si>
  <si>
    <t>Hjelm</t>
  </si>
  <si>
    <t>Claus</t>
  </si>
  <si>
    <t>Wollaston</t>
  </si>
  <si>
    <t>Stromeyer</t>
  </si>
  <si>
    <t>Reich, Richter</t>
  </si>
  <si>
    <t>Müller</t>
  </si>
  <si>
    <t>Courtois</t>
  </si>
  <si>
    <t>Ramsay, Travers</t>
  </si>
  <si>
    <t>Bunsen, Kirchhoff</t>
  </si>
  <si>
    <t>Mosander</t>
  </si>
  <si>
    <t>von Welsbach</t>
  </si>
  <si>
    <t>Demarcay</t>
  </si>
  <si>
    <t>Cleve</t>
  </si>
  <si>
    <t>Urbain, von Welsbach</t>
  </si>
  <si>
    <t>Coster, de Hevesey</t>
  </si>
  <si>
    <t>Rose</t>
  </si>
  <si>
    <t>de Elhuyar</t>
  </si>
  <si>
    <t>Noddack, Berg</t>
  </si>
  <si>
    <t>Tennant</t>
  </si>
  <si>
    <t>de Ulloa</t>
  </si>
  <si>
    <t>Crokes</t>
  </si>
  <si>
    <t>OZ3</t>
  </si>
  <si>
    <t>1. Ion.-energie (kJ/mol)</t>
  </si>
  <si>
    <t>2. Ion.-energie (kJ/mol)</t>
  </si>
  <si>
    <t>3. Ion.-energie (kJ/mol)</t>
  </si>
  <si>
    <t>Rubidium (lateinisch ''rubidus'' für tiefrot, wegen zwei charakteristischer roter Spektrallinien) wurde spektroskopisch im Mineralwasser entdeckt.</t>
  </si>
  <si>
    <t>Mineral Strontianit, benannt nach der schottischen Stadt Strontian</t>
  </si>
  <si>
    <t>Yttrium (''Ytterby'', schwedische Ortschaft in der Nähe von Stockholm) wurde im Mineral Ytterbit entdeckt.</t>
  </si>
  <si>
    <t>Zirkonium wurde nach dem Mineral Zirkon benannt, das eine Zirkoniumverbindung ist.</t>
  </si>
  <si>
    <t>Molybdän, von griech. molybdos für Blei, das in Lagerstätten in der Regel als Molybdänglanz (Molybdändisulfid) vorkommt wurde lange Zeit mit Bleiglanz oder auch Graphit verwechselt.</t>
  </si>
  <si>
    <t>Technetium war das erste künstlich hergestellte Element und erhielt deswegen seinen aus dem griechischen Wort für „künstlich“, tekhnetos, hergeleiteten Namen.</t>
  </si>
  <si>
    <t>Ruthenium (von ''Ruthenia'', lateinisch für Russland)</t>
  </si>
  <si>
    <t>Rhodium (griechisch ''rhodon'' für Rose) wurde in einem Rohplatinerz entdeckt.</t>
  </si>
  <si>
    <t>Palladium wurde 1804 nach dem zwei Jahre vorher entdeckten Asteroiden Pallas benannt.</t>
  </si>
  <si>
    <t>Das Wort Cadmium zu lat. cadmea oder cadmia, welches sich von dem altgriechischen Wort kadmía = Zinkerz herleitet.</t>
  </si>
  <si>
    <t>Indium (benannt nach der ''indigo''farbenen Absorptionsbande im Linienspektrum)</t>
  </si>
  <si>
    <t>Das Wort Antimon kommt vermutlich von arabischen itmid, das Symbol vom lateinischen stibium (= Grauspießglanz). Antimon schon in der Bronzezeit als Zuschlag zu Kupfer verwendet, um Bronze herzustellen. Im 17. Jahrhundert ging der Name Antimon als Bezeichnung auf das Metall über. ie Kopten|koptische Bezeichnung für den Schminkpuder Antimonsulfid ging über das Griechische in das Lateinische stibium über. Die Abkürzung Sb</t>
  </si>
  <si>
    <t>Tellur (lateinisch ''tellus'' für Erde)</t>
  </si>
  <si>
    <t>Iod (vom altgriechischen Wort ιο-ειδης = veilchenfarbig, wegen der violetten Farbe von Ioddämpfen).</t>
  </si>
  <si>
    <t>Xenon (griechisch xenos = fremd) wurde erstmalig aus Rohkrypton abgetrennt.</t>
  </si>
  <si>
    <t>Der Name ''Cäsium'' ist vom lateinischen ''caesius'' abgeleitet, was ''himmelblau'' bedeutet. Der Name nimmt Bezug auf die typischen Spektrallinien des Cäsiums, welche im blauen Bereich liegen,</t>
  </si>
  <si>
    <t>Barium nach dem vorher schon bekannten Baryt (von griech. „schwer“, wegen seiner großen Dichte).</t>
  </si>
  <si>
    <t>Lanthan (griechisch ''lanthanein'' = versteckt)</t>
  </si>
  <si>
    <t>Cer wurde nach dem Planetoiden Ceres benannt.</t>
  </si>
  <si>
    <t>Ytterbium (abgeleitet von Ytterby, einer Grube auf einer Schäreninsel nördlich von Stockholm, das für die Namen der Elemente Yttrium, Terbium und Erbium Pate stand) Marignac fand in der als Erbia bekannten Erde einen neuen Bestandteil und nannte ihn Ytterbia. Er vermutete in der von ihm isolierten Verbindung ein neues Element, das er Ytterbium nannte. 1907 trennte der französische Chemiker Georges Urbain Marignacs Ytterbia in zwei Komponenten, Neoytterbia und Lutetia. Später verkürzte man die Elementbezeichnung Neoytterbium zu Ytterbium.</t>
  </si>
  <si>
    <t>Lutetium wurde nach dem römischen Namen von Paris, ''Lutetia'', benannte.</t>
  </si>
  <si>
    <t>Hafnium (lat. ''Hafnia'' für Kopenhagen) wurde 1923 in Kopenhagen entdeckt.</t>
  </si>
  <si>
    <t>Tantal (''Tantalos'', griechische Mythologie) Lange Zeit hielt man Niob und Tantal für identisch. Erst 1844 konnte Heinrich Rose das unterschiedliche Verhalten von Niob- und Tantalsäure zeigen. Seinen Namen erhielt es in Anlehnung an die griechische Mythologie, da es unter der Säure "schmachten muss und seinen Durst nicht löschen kann, wie Tantalos in der Unterwelt". (Weil Ta&lt;small&gt;2&lt;/small&gt;O&lt;small&gt;5&lt;/small&gt; mit Säuren keine Salze bildet.)</t>
  </si>
  <si>
    <t>Rhenium (lat. ''Rhenus'' für Rhein)</t>
  </si>
  <si>
    <t>Osmium (griechisch ''osme'' für Geruch) wurde im Rückstand von in Königswasser aufgelöstem Platin entdeckt. Seinem rettichartigen Geruch verdankt das Element seinen Namen.</t>
  </si>
  <si>
    <t>Iridium (griechisch ''iris'' für Regenbogen) wurde beim Auflösen eines Rohplatins in Königswasser entdeckt. Die hohe Farbkraft der Iridiumsalze inspirierte zu dem Namen Iridium.</t>
  </si>
  <si>
    <t>Platin wurde von den Indianern Südamerikas benutzt. Der Name leitet sich vom spanischen Wort ''platina'', der Kleinerungsform von ''plata'' "Silber", ab.</t>
  </si>
  <si>
    <t>Thallium (griech. grüner Trieb oder grüner Spross, wegen seiner grünen Flammenfärbung) wurde spektroskopisch im Bleikammerschlamm einer Schwefelsäurefabrik anhand der charakteristischen grünen Spektrallinie entdeckt.</t>
  </si>
  <si>
    <t>Radon (von lat. radius = Strahl, wegen seiner Radioaktivität). Radon wurde 1900 erstmals von Friedrich Ernst Dorn entdeckt; er nannte es "Radium Emanation" ("aus Radium herausgehendes").</t>
  </si>
  <si>
    <t>'Francium'' (von franz. ''France'' = ''Frankreich'', dem Vaterland des Entdeckers),</t>
  </si>
  <si>
    <t>Radium (von lat. radius = Strahl)</t>
  </si>
  <si>
    <t>Der Name des Elements Actinium ist die latinisierte Form des griechischen Wortes (aktína = Strahl).</t>
  </si>
  <si>
    <t>Das  langlebige  Pa-231  (ca. 32000 Jahre) wurde 1918 von  Otto Hahn und Lise Meitner gefunden, sie nannten  es Protactinium  (das chemische Element, das in der Zerfallsreihe  des Uran-235 vor dem Actinium steht).</t>
  </si>
  <si>
    <t>Uran wurde aus dem Mineral Pechblende isoliert. Es ist nach dem Planeten Uranus benannt, der acht Jahre zuvor (1781) entdeckt worden war.</t>
  </si>
  <si>
    <t>Neptunium wurde benannt nach dem Planeten Neptun, der auf den Planeten Uranus folgt. Neptunium folgt im Periodensystem auf Uran, dann folgt Plutonium.</t>
  </si>
  <si>
    <t>Plutonium wurde nach dem Planeten Pluto benannt, der auf den Planeten Neptun folgt, Plutonium folgt im Periodensystem auf Neptunium.</t>
  </si>
  <si>
    <t>Americium nach einem Erdteil benannte Element.</t>
  </si>
  <si>
    <t>Curium wurde nach den Forschern Marie und Pierre Curie benannt.</t>
  </si>
  <si>
    <t>Berkelium wurde nach der Stadt Berkeley in Kalifornien benannt, wo es 1949 an der University of California entdeckt wurde.</t>
  </si>
  <si>
    <t>Californium wurde erstmalig an der University of California in Berkeley (Kalifornien) erzeugt.</t>
  </si>
  <si>
    <t>Einsteinium wurde zu Ehren Albert Einsteins benannt.</t>
  </si>
  <si>
    <t>Fermium wurde nach Enrico Fermi benannt.</t>
  </si>
  <si>
    <t xml:space="preserve">Mendelevium wurde nach dem russischen Chemiker und "Erfinder" des Periodensystems Mendelejew benannt. </t>
  </si>
  <si>
    <t>Nobelium wurde nach Alfred Nobel benannt.</t>
  </si>
  <si>
    <t>nach Ernest Rutherford</t>
  </si>
  <si>
    <t>nach dem russischen Kernforschungszentrum "Dubna (Moskau) benannt, in dem es entdeckt wurde</t>
  </si>
  <si>
    <t>Seaborgium zu Ehren des amerikanischen Chemikers Glenn Seaborg.</t>
  </si>
  <si>
    <t>Bohrium benannt nach Niels Bohr.</t>
  </si>
  <si>
    <t>Hassium wurde erstmals 1984 bei der GSI in Darmstadt erzeugt. Seit 1997 trägt es seinen aktuellen Namen, der sich vom lateinischen Namen ''Hassia'' für das Bundesland Hessen ableitet.</t>
  </si>
  <si>
    <t>Meitnerium, nach der österreichisch-schwedischen Physikerin und Mathematikerin Lise Meitner benannt.</t>
  </si>
  <si>
    <t>nach der Stadt Darmstadt getauft</t>
  </si>
  <si>
    <t>Zu Ehren des Physikers Wilhelm Conrad Röntgen benannt.</t>
  </si>
  <si>
    <t>Ununtrium soll 2003 erzeugt worden sein.</t>
  </si>
  <si>
    <t>Ununquadium wurde vermutlich erstmals 1999 erzeugt. Die Entdeckung wurde bei der IUPAC eingereicht, aber von dieser noch nicht bestätigt. Einen offiziellen Namen erhält das Element erst, wenn diese Bestätigung erfolgt ist.</t>
  </si>
  <si>
    <t>Der Name Ununhexium ist abgeleitet von lat. ''unus'' = eins (2x) und griech. ''hex'' = sechs - entsprechend der Ordnungszahl 116.</t>
  </si>
  <si>
    <t>Der Name Ununseptium ist abgeleitet von lat. ''unus'' = eins (2x) und griech. ''hepte'' = sieben - entsprechend der Ordnungszahl 117. Der Name ist bis zur Namensgebung durch den ersten Entdecker vorläufig.</t>
  </si>
  <si>
    <t>Ununoctium (von lat. ''unus'' = eins (2x) und lat. ''octo'' = acht - entsprechend der Ordnungszahl 118).</t>
  </si>
  <si>
    <t>Die Elementbezeichnug leitet sich von dem lateinischen ''calx'' ab. So bezeichneten die Römer Kalkstein, Kreide und daraus hergestellten Mörtel.</t>
  </si>
  <si>
    <t>Das griechische Wort prásinos bedeutet lauchgrün, didymos doppelt oder Zwilling. Im Jahr 1879 isolierte Paul Lecoq de Boisbaudran Samarium aus Didym, das er aus dem Mineral Samarskit gewann. 1885 gelang es, Didym in Praseodym und Neodym zu trennen, die beide Salze mit verschiedenen Farben bilden.</t>
  </si>
  <si>
    <t>Neodym wurde zusammen mit Praseodym aus dem Didym isoliert. Die Elementbezeichnung leitet sich von den griechischen Worten ''neos'' für neu und ''didymos'' für Zwilling ab.</t>
  </si>
  <si>
    <t>Promethium wurde 1945 als Spaltprodukt des Urans entdeckt. Den Namen '''Promethium''' wählte man in Anlehnung an den griechischen Titanen Prometheus, der den Menschen das Feuer brachte und so den Zorn der Götter erweckte. Dies war als Mahnung an die Menschheit gedacht, die zu diesem Zeitpunkt mit dem nukleares Wettrüsten|nuklearen Wettrüsten begann.</t>
  </si>
  <si>
    <t>Samarium nach dem Mineral Samarskit. Mineral- und Elementbezeichnung leiten sich ab von dem Russen Samarsky, der das Mineral entdeckte.</t>
  </si>
  <si>
    <t>Die Elementbezeichnung steht für den Kontinent Europa.</t>
  </si>
  <si>
    <t>Nach dem Entdecker des Minerals Gadolinit, dem finnischen Chemiker Johan Gadolin, Gadolinium.</t>
  </si>
  <si>
    <t>La</t>
  </si>
  <si>
    <t>Lanthan</t>
  </si>
  <si>
    <t>Ce</t>
  </si>
  <si>
    <t>Cer</t>
  </si>
  <si>
    <t>Pr</t>
  </si>
  <si>
    <t>Praseodym</t>
  </si>
  <si>
    <t>Österreich</t>
  </si>
  <si>
    <t>355.6</t>
  </si>
  <si>
    <t>Nd</t>
  </si>
  <si>
    <t>Neodym</t>
  </si>
  <si>
    <t>327.6</t>
  </si>
  <si>
    <t>Pm</t>
  </si>
  <si>
    <t>Promethium</t>
  </si>
  <si>
    <t>USA</t>
  </si>
  <si>
    <t>Sm</t>
  </si>
  <si>
    <t>Samarium</t>
  </si>
  <si>
    <t>206.7</t>
  </si>
  <si>
    <t>Eu</t>
  </si>
  <si>
    <t>Europium</t>
  </si>
  <si>
    <t>175.3</t>
  </si>
  <si>
    <t>Gd</t>
  </si>
  <si>
    <t>Gadolinium</t>
  </si>
  <si>
    <t>Schweiz</t>
  </si>
  <si>
    <t>397.5</t>
  </si>
  <si>
    <t>Tb</t>
  </si>
  <si>
    <t>Terbium</t>
  </si>
  <si>
    <t>388.7</t>
  </si>
  <si>
    <t>Dy</t>
  </si>
  <si>
    <t>Dysprosium</t>
  </si>
  <si>
    <t>290.4</t>
  </si>
  <si>
    <t>Ho</t>
  </si>
  <si>
    <t>Holmium</t>
  </si>
  <si>
    <t>300.8</t>
  </si>
  <si>
    <t>Er</t>
  </si>
  <si>
    <t>Erbium</t>
  </si>
  <si>
    <t>317.1</t>
  </si>
  <si>
    <t>Tm</t>
  </si>
  <si>
    <t>Thulium</t>
  </si>
  <si>
    <t>232.2</t>
  </si>
  <si>
    <t>Yb</t>
  </si>
  <si>
    <t>Ytterbium</t>
  </si>
  <si>
    <t>152.3</t>
  </si>
  <si>
    <t>Lu</t>
  </si>
  <si>
    <t>Lutetium</t>
  </si>
  <si>
    <t>427.6</t>
  </si>
  <si>
    <t>Hf</t>
  </si>
  <si>
    <t>Hafnium</t>
  </si>
  <si>
    <t>619.2</t>
  </si>
  <si>
    <t>Ta</t>
  </si>
  <si>
    <t>Tantal</t>
  </si>
  <si>
    <t>W</t>
  </si>
  <si>
    <t>Wolfram</t>
  </si>
  <si>
    <t>Spanien</t>
  </si>
  <si>
    <t>849.4</t>
  </si>
  <si>
    <t>Re</t>
  </si>
  <si>
    <t>Rhenium</t>
  </si>
  <si>
    <t>769.9</t>
  </si>
  <si>
    <t>Os</t>
  </si>
  <si>
    <t>Osmium</t>
  </si>
  <si>
    <t>blau-grau</t>
  </si>
  <si>
    <t>Ir</t>
  </si>
  <si>
    <t>Iridium</t>
  </si>
  <si>
    <t>665.3</t>
  </si>
  <si>
    <t>Pt</t>
  </si>
  <si>
    <t>Platin</t>
  </si>
  <si>
    <t>565.3</t>
  </si>
  <si>
    <t>Au</t>
  </si>
  <si>
    <t>Gold</t>
  </si>
  <si>
    <t>366.1</t>
  </si>
  <si>
    <t>Hg</t>
  </si>
  <si>
    <t>Quecksilber</t>
  </si>
  <si>
    <t>61.3</t>
  </si>
  <si>
    <t>Tl</t>
  </si>
  <si>
    <t>Thallium</t>
  </si>
  <si>
    <t>182.2</t>
  </si>
  <si>
    <t>grün</t>
  </si>
  <si>
    <t>Pb</t>
  </si>
  <si>
    <t>Blei</t>
  </si>
  <si>
    <t>Bi</t>
  </si>
  <si>
    <t>Bismut</t>
  </si>
  <si>
    <t>207.1</t>
  </si>
  <si>
    <t>weiß-rosa</t>
  </si>
  <si>
    <t>Po</t>
  </si>
  <si>
    <t>Polonium</t>
  </si>
  <si>
    <t>At</t>
  </si>
  <si>
    <t>Astat</t>
  </si>
  <si>
    <t>Rn</t>
  </si>
  <si>
    <t>Radon</t>
  </si>
  <si>
    <t>Fr</t>
  </si>
  <si>
    <t>Francium</t>
  </si>
  <si>
    <t>Ra</t>
  </si>
  <si>
    <t>Radium</t>
  </si>
  <si>
    <t>Ac</t>
  </si>
  <si>
    <t>Actinium</t>
  </si>
  <si>
    <t>Th</t>
  </si>
  <si>
    <t>Thorium</t>
  </si>
  <si>
    <t>Pa</t>
  </si>
  <si>
    <t>Protactinium</t>
  </si>
  <si>
    <t>U</t>
  </si>
  <si>
    <t>Uran</t>
  </si>
  <si>
    <t>Np</t>
  </si>
  <si>
    <t>Neptunium</t>
  </si>
  <si>
    <t>Pu</t>
  </si>
  <si>
    <t>Plutonium</t>
  </si>
  <si>
    <t>Am</t>
  </si>
  <si>
    <t>Americium</t>
  </si>
  <si>
    <t>Cm</t>
  </si>
  <si>
    <t>Curium</t>
  </si>
  <si>
    <t>Bk</t>
  </si>
  <si>
    <t>Berkelium</t>
  </si>
  <si>
    <t>Cf</t>
  </si>
  <si>
    <t>Californium</t>
  </si>
  <si>
    <t>Es</t>
  </si>
  <si>
    <t>Einsteinium</t>
  </si>
  <si>
    <t>Fm</t>
  </si>
  <si>
    <t>Fermium</t>
  </si>
  <si>
    <t>Md</t>
  </si>
  <si>
    <t>Mendelevium</t>
  </si>
  <si>
    <t>No</t>
  </si>
  <si>
    <t>Nobelium</t>
  </si>
  <si>
    <t>Lw</t>
  </si>
  <si>
    <t>Lawrencium</t>
  </si>
  <si>
    <t>Rf</t>
  </si>
  <si>
    <t>Rutherfordium</t>
  </si>
  <si>
    <t>UdSSR</t>
  </si>
  <si>
    <t>Db</t>
  </si>
  <si>
    <t>Sg</t>
  </si>
  <si>
    <t>Seaborgium</t>
  </si>
  <si>
    <t>Bh</t>
  </si>
  <si>
    <t>Hs</t>
  </si>
  <si>
    <t>Mt</t>
  </si>
  <si>
    <t>Uub</t>
  </si>
  <si>
    <t>III B</t>
  </si>
  <si>
    <t>IV B</t>
  </si>
  <si>
    <t>V B</t>
  </si>
  <si>
    <t>VI B</t>
  </si>
  <si>
    <t>VII B</t>
  </si>
  <si>
    <t>VIII B</t>
  </si>
  <si>
    <t>I B</t>
  </si>
  <si>
    <t>II B</t>
  </si>
  <si>
    <t>2,46 g/cm³</t>
  </si>
  <si>
    <t>2,99 g/cm³</t>
  </si>
  <si>
    <t>7,14 g/cm³</t>
  </si>
  <si>
    <t>7,87 g/cm³</t>
  </si>
  <si>
    <t>8,91 g/cm³</t>
  </si>
  <si>
    <t>8,92 g/cm³</t>
  </si>
  <si>
    <t>5,32 g/cm³</t>
  </si>
  <si>
    <t>5,72 g/cm³</t>
  </si>
  <si>
    <t>4,47 g/cm³</t>
  </si>
  <si>
    <t>10,28 g/cm³</t>
  </si>
  <si>
    <t>10,49 g/cm³</t>
  </si>
  <si>
    <t>7,31 g/cm³</t>
  </si>
  <si>
    <t>4,94 g/cm³</t>
  </si>
  <si>
    <t>6,77 g/cm³</t>
  </si>
  <si>
    <t>6,48 g/cm³</t>
  </si>
  <si>
    <t>7,54 g/cm³</t>
  </si>
  <si>
    <t>5,25 g/cm³</t>
  </si>
  <si>
    <t>7,89 g/cm³</t>
  </si>
  <si>
    <t>8,25 g/cm³</t>
  </si>
  <si>
    <t>8,56 g/cm³</t>
  </si>
  <si>
    <t>8,78 g/cm³</t>
  </si>
  <si>
    <t>9,05 g/cm³</t>
  </si>
  <si>
    <t>9,32 g/cm³</t>
  </si>
  <si>
    <t>6,97 g/cm³</t>
  </si>
  <si>
    <t>9,84 g/cm³</t>
  </si>
  <si>
    <t>21,45 g/cm³</t>
  </si>
  <si>
    <t>19,32 g/cm³</t>
  </si>
  <si>
    <t>13,55 g/cm³</t>
  </si>
  <si>
    <t>11,85 g/cm³</t>
  </si>
  <si>
    <t>11,34 g/cm³</t>
  </si>
  <si>
    <t>k.A.</t>
  </si>
  <si>
    <t>10,07 g/cm³</t>
  </si>
  <si>
    <t>11,72 g/cm³</t>
  </si>
  <si>
    <t>15,37 g/cm³</t>
  </si>
  <si>
    <t>13,67 g/cm³</t>
  </si>
  <si>
    <t>13,51 g/cm³</t>
  </si>
  <si>
    <t>15,1 g/cm³</t>
  </si>
  <si>
    <t>-259 °C</t>
  </si>
  <si>
    <t>-269 °C</t>
  </si>
  <si>
    <t>-196 °C</t>
  </si>
  <si>
    <t>-210 °C</t>
  </si>
  <si>
    <t>-183 °C</t>
  </si>
  <si>
    <t>-188 °C</t>
  </si>
  <si>
    <t>-220 °C</t>
  </si>
  <si>
    <t>-246 °C</t>
  </si>
  <si>
    <t>-249 °C</t>
  </si>
  <si>
    <t>98 °C</t>
  </si>
  <si>
    <t>650 °C</t>
  </si>
  <si>
    <t>660 °C</t>
  </si>
  <si>
    <t>280 °C</t>
  </si>
  <si>
    <t>44 °C</t>
  </si>
  <si>
    <t>445 °C</t>
  </si>
  <si>
    <t>-35 °C</t>
  </si>
  <si>
    <t>-186 °C</t>
  </si>
  <si>
    <t>-189 °C</t>
  </si>
  <si>
    <t>30 °C</t>
  </si>
  <si>
    <t>613 °C</t>
  </si>
  <si>
    <t>685 °C</t>
  </si>
  <si>
    <t>-7 °C</t>
  </si>
  <si>
    <t>-152 °C</t>
  </si>
  <si>
    <t>-157 °C</t>
  </si>
  <si>
    <t>688 °C</t>
  </si>
  <si>
    <t>39 °C</t>
  </si>
  <si>
    <t>765 °C</t>
  </si>
  <si>
    <t>321 °C</t>
  </si>
  <si>
    <t>232 °C</t>
  </si>
  <si>
    <t>631 °C</t>
  </si>
  <si>
    <t>450 °C</t>
  </si>
  <si>
    <t>114 °C</t>
  </si>
  <si>
    <t>-108 °C</t>
  </si>
  <si>
    <t>-112 °C</t>
  </si>
  <si>
    <t>690 °C</t>
  </si>
  <si>
    <t>920 °C</t>
  </si>
  <si>
    <t>795 °C</t>
  </si>
  <si>
    <t>935 °C</t>
  </si>
  <si>
    <t>826 °C</t>
  </si>
  <si>
    <t>824 °C</t>
  </si>
  <si>
    <t>357 °C</t>
  </si>
  <si>
    <t>-39 °C</t>
  </si>
  <si>
    <t>327 °C</t>
  </si>
  <si>
    <t>271 °C</t>
  </si>
  <si>
    <t>962 °C</t>
  </si>
  <si>
    <t>254 °C</t>
  </si>
  <si>
    <t>335 °C</t>
  </si>
  <si>
    <t>302 °C</t>
  </si>
  <si>
    <t>-62 °C</t>
  </si>
  <si>
    <t>-71 °C</t>
  </si>
  <si>
    <t>27 °C</t>
  </si>
  <si>
    <t>700 °C</t>
  </si>
  <si>
    <t>986 °C</t>
  </si>
  <si>
    <t>900 °C</t>
  </si>
  <si>
    <t>860 °C</t>
  </si>
  <si>
    <t>Elektronegativität</t>
  </si>
  <si>
    <t>Atommasse in u</t>
  </si>
  <si>
    <t>Schmelztemperatur</t>
  </si>
  <si>
    <t>Siedetemperatur</t>
  </si>
  <si>
    <t>Atomradius</t>
  </si>
  <si>
    <t>1.</t>
  </si>
  <si>
    <t>2.</t>
  </si>
  <si>
    <t>3.</t>
  </si>
  <si>
    <t>4.</t>
  </si>
  <si>
    <t>5.</t>
  </si>
  <si>
    <t>6.</t>
  </si>
  <si>
    <t>7.</t>
  </si>
  <si>
    <t>Nebengruppen</t>
  </si>
  <si>
    <t>PSE - alphabetische Sortierung</t>
  </si>
  <si>
    <t xml:space="preserve">  nach Namen:</t>
  </si>
  <si>
    <t xml:space="preserve">  nach Abkürzungen:</t>
  </si>
  <si>
    <r>
      <t>A</t>
    </r>
    <r>
      <rPr>
        <sz val="10"/>
        <rFont val="Arial"/>
        <family val="2"/>
      </rPr>
      <t>ctinium</t>
    </r>
  </si>
  <si>
    <r>
      <t>P</t>
    </r>
    <r>
      <rPr>
        <sz val="10"/>
        <rFont val="Arial"/>
        <family val="2"/>
      </rPr>
      <t>alladium</t>
    </r>
  </si>
  <si>
    <r>
      <t>B</t>
    </r>
    <r>
      <rPr>
        <sz val="10"/>
        <rFont val="Arial"/>
        <family val="2"/>
      </rPr>
      <t>arium</t>
    </r>
  </si>
  <si>
    <r>
      <t>C</t>
    </r>
    <r>
      <rPr>
        <sz val="10"/>
        <rFont val="Arial"/>
        <family val="2"/>
      </rPr>
      <t>admium</t>
    </r>
  </si>
  <si>
    <r>
      <t>R</t>
    </r>
    <r>
      <rPr>
        <sz val="10"/>
        <rFont val="Arial"/>
        <family val="2"/>
      </rPr>
      <t>adium</t>
    </r>
  </si>
  <si>
    <r>
      <t>S</t>
    </r>
    <r>
      <rPr>
        <sz val="10"/>
        <rFont val="Arial"/>
        <family val="2"/>
      </rPr>
      <t>amarium</t>
    </r>
  </si>
  <si>
    <r>
      <t>E</t>
    </r>
    <r>
      <rPr>
        <sz val="10"/>
        <rFont val="Arial"/>
        <family val="2"/>
      </rPr>
      <t>insteinium</t>
    </r>
  </si>
  <si>
    <r>
      <t>T</t>
    </r>
    <r>
      <rPr>
        <sz val="10"/>
        <rFont val="Arial"/>
        <family val="2"/>
      </rPr>
      <t>antal</t>
    </r>
  </si>
  <si>
    <r>
      <t>H</t>
    </r>
    <r>
      <rPr>
        <sz val="10"/>
        <rFont val="Arial"/>
        <family val="2"/>
      </rPr>
      <t>afnium</t>
    </r>
  </si>
  <si>
    <r>
      <t>I</t>
    </r>
    <r>
      <rPr>
        <sz val="10"/>
        <rFont val="Arial"/>
        <family val="2"/>
      </rPr>
      <t>ndium</t>
    </r>
  </si>
  <si>
    <r>
      <t>K</t>
    </r>
    <r>
      <rPr>
        <sz val="10"/>
        <rFont val="Arial"/>
        <family val="2"/>
      </rPr>
      <t>alium</t>
    </r>
  </si>
  <si>
    <r>
      <t>W</t>
    </r>
    <r>
      <rPr>
        <sz val="10"/>
        <rFont val="Arial"/>
        <family val="2"/>
      </rPr>
      <t>asserstoff</t>
    </r>
  </si>
  <si>
    <r>
      <t>Y</t>
    </r>
    <r>
      <rPr>
        <sz val="10"/>
        <rFont val="Arial"/>
        <family val="2"/>
      </rPr>
      <t>tterbium</t>
    </r>
  </si>
  <si>
    <r>
      <t>L</t>
    </r>
    <r>
      <rPr>
        <sz val="10"/>
        <rFont val="Arial"/>
        <family val="2"/>
      </rPr>
      <t>anthan</t>
    </r>
  </si>
  <si>
    <r>
      <t>Z</t>
    </r>
    <r>
      <rPr>
        <sz val="10"/>
        <rFont val="Arial"/>
        <family val="2"/>
      </rPr>
      <t>ink</t>
    </r>
  </si>
  <si>
    <r>
      <t>M</t>
    </r>
    <r>
      <rPr>
        <sz val="10"/>
        <rFont val="Arial"/>
        <family val="2"/>
      </rPr>
      <t>agnesium</t>
    </r>
  </si>
  <si>
    <r>
      <t>N</t>
    </r>
    <r>
      <rPr>
        <sz val="10"/>
        <rFont val="Arial"/>
        <family val="2"/>
      </rPr>
      <t>atrium</t>
    </r>
  </si>
  <si>
    <t>1,55 g/cm³</t>
  </si>
  <si>
    <t>biatomar</t>
  </si>
  <si>
    <t>Metalle</t>
  </si>
  <si>
    <t>Lr</t>
  </si>
  <si>
    <t>Dubnium</t>
  </si>
  <si>
    <t>Bohrium</t>
  </si>
  <si>
    <t>Hassium</t>
  </si>
  <si>
    <t>Meitnerium</t>
  </si>
  <si>
    <t>Ds</t>
  </si>
  <si>
    <t>Darmstadtium</t>
  </si>
  <si>
    <t>Roentgenium</t>
  </si>
  <si>
    <t>Rg</t>
  </si>
  <si>
    <t>Ununbium</t>
  </si>
  <si>
    <t>Uut</t>
  </si>
  <si>
    <t xml:space="preserve">Ununtrium </t>
  </si>
  <si>
    <t>Ununquadium</t>
  </si>
  <si>
    <t>Ununhexium</t>
  </si>
  <si>
    <t>Uuq</t>
  </si>
  <si>
    <t>Uup</t>
  </si>
  <si>
    <t>Uuh</t>
  </si>
  <si>
    <t>Ununoctium</t>
  </si>
  <si>
    <t>Ununpentium</t>
  </si>
  <si>
    <t>Ununseptium</t>
  </si>
  <si>
    <t>Uus</t>
  </si>
  <si>
    <t>Uuo</t>
  </si>
  <si>
    <r>
      <t>D</t>
    </r>
    <r>
      <rPr>
        <sz val="10"/>
        <rFont val="Arial"/>
        <family val="2"/>
      </rPr>
      <t>armstadtium</t>
    </r>
  </si>
  <si>
    <t>Caesium</t>
  </si>
  <si>
    <t>Elektronenkonfiguration</t>
  </si>
  <si>
    <t>1s2</t>
  </si>
  <si>
    <t>1s1</t>
  </si>
  <si>
    <t>[He] 2s1</t>
  </si>
  <si>
    <t>[He] 2s2</t>
  </si>
  <si>
    <t>[He] 2s2p1</t>
  </si>
  <si>
    <t>[He] 2s2p2</t>
  </si>
  <si>
    <t>[He] 2s2p3</t>
  </si>
  <si>
    <t>[He] 2s2p4</t>
  </si>
  <si>
    <t>[He] 2s2p5</t>
  </si>
  <si>
    <t>[He] 2s2p6</t>
  </si>
  <si>
    <t>[Ne] 3s1</t>
  </si>
  <si>
    <t>[Ne] 3s2</t>
  </si>
  <si>
    <t>[Ne] 3s2p1</t>
  </si>
  <si>
    <t>[Ne] 3s2p2</t>
  </si>
  <si>
    <t>[Ne] 3s2p3</t>
  </si>
  <si>
    <t>[Ne] 3s2p4</t>
  </si>
  <si>
    <t>[Ne] 3s2p5</t>
  </si>
  <si>
    <t>[Ne] 3s2p6</t>
  </si>
  <si>
    <t>[Ar] 4s1</t>
  </si>
  <si>
    <t>[Ar] 4s2</t>
  </si>
  <si>
    <t>[Ar] 4s2 3d1</t>
  </si>
  <si>
    <t>[Ar] 4s2 3d2</t>
  </si>
  <si>
    <t>[Ar] 4s2 3d3</t>
  </si>
  <si>
    <t>[Ar] 4s1 3d5</t>
  </si>
  <si>
    <t>[Ar] 4s2 3d5</t>
  </si>
  <si>
    <t>[Ar] 4s2 3d6</t>
  </si>
  <si>
    <t>[Ar] 4s2 3d7</t>
  </si>
  <si>
    <t>[Ar] 4s2 3d8</t>
  </si>
  <si>
    <t>[Ar] 4s1 3d10</t>
  </si>
  <si>
    <t>[Ar] 4s2 3d10</t>
  </si>
  <si>
    <t>[Ar] 4s2 3d10 4p1</t>
  </si>
  <si>
    <t>[Ar] 4s2 3d10 4p2</t>
  </si>
  <si>
    <t>[Ar] 4s2 3d10 4p3</t>
  </si>
  <si>
    <t>[Ar] 4s2 3d10 4p4</t>
  </si>
  <si>
    <t>[Ar] 4s2 3d10 4p5</t>
  </si>
  <si>
    <t>[Ar] 4s2 3d10 4p6</t>
  </si>
  <si>
    <t>[Kr] 5s1</t>
  </si>
  <si>
    <t>[Kr] 5s2</t>
  </si>
  <si>
    <t>[Xe] 6s1</t>
  </si>
  <si>
    <t>[Xe] 6s2</t>
  </si>
  <si>
    <t>[Rn] 7s1</t>
  </si>
  <si>
    <t>[Rn] 7s2</t>
  </si>
  <si>
    <t>[Kr] 5s2 4d1</t>
  </si>
  <si>
    <t>[Kr] 5s2 4d2</t>
  </si>
  <si>
    <t>[Kr] 5s1 4d4</t>
  </si>
  <si>
    <t>[Kr] 5s1 4d5</t>
  </si>
  <si>
    <t>[Kr] 5s1 4d6</t>
  </si>
  <si>
    <t>[Kr] 5s1 4d7</t>
  </si>
  <si>
    <t>[Kr] 5s1 4d8</t>
  </si>
  <si>
    <t>[Kr] 4d10</t>
  </si>
  <si>
    <t>[Kr] 5s1 4d10</t>
  </si>
  <si>
    <t>[Kr] 5s2 4d10</t>
  </si>
  <si>
    <t>[Xe] 6s2 4f2</t>
  </si>
  <si>
    <t>[Xe] 6s2 4f3</t>
  </si>
  <si>
    <t>[Xe] 6s2 4f4 </t>
  </si>
  <si>
    <t>[Xe] 6s2 4f5</t>
  </si>
  <si>
    <t>[Xe] 6s2 4f6</t>
  </si>
  <si>
    <t>[Xe] 6s2 4f7</t>
  </si>
  <si>
    <t>[Xe] 6s2 4f9</t>
  </si>
  <si>
    <t>[Xe] 6s2 4f10</t>
  </si>
  <si>
    <t>[Xe] 6s2 4f11</t>
  </si>
  <si>
    <t>[Xe] 6s2 4f12</t>
  </si>
  <si>
    <t>[Xe] 6s2 4f13</t>
  </si>
  <si>
    <t>[Xe] 6s2 4f14</t>
  </si>
  <si>
    <t>[Kr] 5s2 4d10 5p1</t>
  </si>
  <si>
    <t>[Kr] 5s2 4d10 5p2</t>
  </si>
  <si>
    <t>[Kr] 5s2 4d10 5p3</t>
  </si>
  <si>
    <t>[Kr] 5s2 4d10 5p4</t>
  </si>
  <si>
    <t>[Kr] 5s2 4d10 5p5</t>
  </si>
  <si>
    <t>[Kr] 5s2 4d10 5p6</t>
  </si>
  <si>
    <t>[Xe] 6s2 5d1</t>
  </si>
  <si>
    <t>[Xe] 6s2 4f7 5d1</t>
  </si>
  <si>
    <t>[Xe] 6s2 4f14 5d1</t>
  </si>
  <si>
    <t>[Xe] 6s2 4f14 5d2</t>
  </si>
  <si>
    <t>[Xe] 6s2 4f14 5d3</t>
  </si>
  <si>
    <t>[Xe] 6s2 4f14 5d4</t>
  </si>
  <si>
    <t>[Xe] 6s2 4f14 5d5</t>
  </si>
  <si>
    <t>[Xe] 6s2 4f14 5d6</t>
  </si>
  <si>
    <t>[Xe] 6s2 4f14 5d7</t>
  </si>
  <si>
    <t>[Xe] 6s1 4f14 5d9</t>
  </si>
  <si>
    <t>[Xe] 6s1 4f14 5d10</t>
  </si>
  <si>
    <t>[Xe] 6s2 4f14 5d10</t>
  </si>
  <si>
    <t>[Rn] 7s2 5f6</t>
  </si>
  <si>
    <t>[Rn] 7s2 5f7</t>
  </si>
  <si>
    <t>[Rn] 7s2 5f9</t>
  </si>
  <si>
    <t>[Rn] 7s2 5f10</t>
  </si>
  <si>
    <t>[Rn] 7s2 5f11</t>
  </si>
  <si>
    <t>[Rn] 7s2 5f12</t>
  </si>
  <si>
    <t>[Rn] 7s2 5f13</t>
  </si>
  <si>
    <t>[Rn] 7s2 5f14</t>
  </si>
  <si>
    <t>[Rn] 7s2 6d1</t>
  </si>
  <si>
    <t>[Rn] 7s2 6d2</t>
  </si>
  <si>
    <t>[Rn] 7s2 6d1 5f2</t>
  </si>
  <si>
    <t>[Rn] 7s2 6d1 5f3</t>
  </si>
  <si>
    <t>[Rn] 7s2 6d1 5f4</t>
  </si>
  <si>
    <t>[Rn] 7s2 6d1 5f7</t>
  </si>
  <si>
    <t>[Rn] 7s2 6d1 5f14</t>
  </si>
  <si>
    <t>[Xe] 6s2 4f14 5d10 6p1</t>
  </si>
  <si>
    <t>[Xe] 6s2 4f14 5d10 6p2</t>
  </si>
  <si>
    <t>[Xe] 6s2 4f14 5d10 6p3</t>
  </si>
  <si>
    <t>[Xe] 6s2 4f14 5d10 6p4</t>
  </si>
  <si>
    <t>[Xe] 6s2 4f14 5d10 6p5</t>
  </si>
  <si>
    <t>[Xe] 6s2 4f14 5d10 6p6</t>
  </si>
  <si>
    <t>EK-Wiki</t>
  </si>
  <si>
    <t>[He] 2s&lt;sup&gt;1&lt;/sup&gt;</t>
  </si>
  <si>
    <t>[Ne] 3s&lt;sup&gt;1&lt;/sup&gt;</t>
  </si>
  <si>
    <t>[Ar] 4s&lt;sup&gt;1&lt;/sup&gt;</t>
  </si>
  <si>
    <t>[Kr] 5s&lt;sup&gt;1&lt;/sup&gt;</t>
  </si>
  <si>
    <t>[Xe] 6s&lt;sup&gt;1&lt;/sup&gt;</t>
  </si>
  <si>
    <t>[Rn] 7s&lt;sup&gt;1&lt;/sup&gt;</t>
  </si>
  <si>
    <t>1s&lt;sup&gt;1&lt;/sup&gt;</t>
  </si>
  <si>
    <t>1s&lt;sup&gt;2&lt;/sup&gt;</t>
  </si>
  <si>
    <t>[He] 2s&lt;sup&gt;2&lt;/sup&gt;</t>
  </si>
  <si>
    <t>[Ne] 3s&lt;sup&gt;2&lt;/sup&gt;</t>
  </si>
  <si>
    <t>[Ar] 4s&lt;sup&gt;2&lt;/sup&gt;</t>
  </si>
  <si>
    <t>[Kr] 5s&lt;sup&gt;2&lt;/sup&gt;</t>
  </si>
  <si>
    <t>[Xe] 6s&lt;sup&gt;2&lt;/sup&gt;</t>
  </si>
  <si>
    <t>[Xe] 6s&lt;sup&gt;2&lt;/sup&gt; 4f3</t>
  </si>
  <si>
    <t>[Rn] 7s&lt;sup&gt;2&lt;/sup&gt;</t>
  </si>
  <si>
    <t>[He] 2s&lt;sup&gt;2&lt;/sup&gt;p&lt;sup&gt;1&lt;/sup&gt;</t>
  </si>
  <si>
    <t>[Ne] 3s&lt;sup&gt;2&lt;/sup&gt;p&lt;sup&gt;1&lt;/sup&gt;</t>
  </si>
  <si>
    <t>[He] 2s&lt;sup&gt;2&lt;/sup&gt;p&lt;sup&gt;2&lt;/sup&gt;</t>
  </si>
  <si>
    <t>[Ne] 3s&lt;sup&gt;2&lt;/sup&gt;p&lt;sup&gt;2&lt;/sup&gt;</t>
  </si>
  <si>
    <t>[He] 2s&lt;sup&gt;2&lt;/sup&gt;p&lt;sup&gt;3&lt;/sup&gt;</t>
  </si>
  <si>
    <t>[Ne] 3s&lt;sup&gt;2&lt;/sup&gt;p&lt;sup&gt;3&lt;/sup&gt;</t>
  </si>
  <si>
    <t>[He] 2s&lt;sup&gt;2&lt;/sup&gt;p&lt;sup&gt;4&lt;/sup&gt;</t>
  </si>
  <si>
    <t>[Ne] 3s&lt;sup&gt;2&lt;/sup&gt;p&lt;sup&gt;4&lt;/sup&gt;</t>
  </si>
  <si>
    <t>[He] 2s&lt;sup&gt;2&lt;/sup&gt;p&lt;sup&gt;5&lt;/sup&gt;</t>
  </si>
  <si>
    <t>[Ne] 3s&lt;sup&gt;2&lt;/sup&gt;p&lt;sup&gt;5&lt;/sup&gt;</t>
  </si>
  <si>
    <t>[He] 2s&lt;sup&gt;2&lt;/sup&gt;p&lt;sup&gt;6&lt;/sup&gt;</t>
  </si>
  <si>
    <t>[Ne] 3s&lt;sup&gt;2&lt;/sup&gt;p&lt;sup&gt;6&lt;/sup&gt;</t>
  </si>
  <si>
    <t>[Ar] 4s&lt;sup&gt;2&lt;/sup&gt; 3d&lt;sup&gt;1&lt;/sup&gt;</t>
  </si>
  <si>
    <t>[Kr] 5s&lt;sup&gt;2&lt;/sup&gt; 4d&lt;sup&gt;1&lt;/sup&gt;</t>
  </si>
  <si>
    <t>[Xe] 6s&lt;sup&gt;2&lt;/sup&gt; 5d&lt;sup&gt;1&lt;/sup&gt;</t>
  </si>
  <si>
    <t>[Rn] 7s&lt;sup&gt;2&lt;/sup&gt; 6d&lt;sup&gt;1&lt;/sup&gt;</t>
  </si>
  <si>
    <t>[Rn] 7s&lt;sup&gt;2&lt;/sup&gt; 6d&lt;sup&gt;1&lt;/sup&gt; 5f3</t>
  </si>
  <si>
    <t>[Ar] 4s&lt;sup&gt;2&lt;/sup&gt; 3d&lt;sup&gt;2&lt;/sup&gt;</t>
  </si>
  <si>
    <t>[Kr] 5s&lt;sup&gt;2&lt;/sup&gt; 4d&lt;sup&gt;2&lt;/sup&gt;</t>
  </si>
  <si>
    <t>[Rn] 7s&lt;sup&gt;2&lt;/sup&gt; 6d&lt;sup&gt;2&lt;/sup&gt;</t>
  </si>
  <si>
    <t>[Ar] 4s&lt;sup&gt;2&lt;/sup&gt; 3d&lt;sup&gt;3&lt;/sup&gt;</t>
  </si>
  <si>
    <t>[Kr] 5s&lt;sup&gt;1&lt;/sup&gt; 4d&lt;sup&gt;4&lt;/sup&gt;</t>
  </si>
  <si>
    <t>[Ar] 4s&lt;sup&gt;1&lt;/sup&gt; 3d&lt;sup&gt;5&lt;/sup&gt;</t>
  </si>
  <si>
    <t>[Ar] 4s&lt;sup&gt;2&lt;/sup&gt; 3d&lt;sup&gt;5&lt;/sup&gt;</t>
  </si>
  <si>
    <t>[Kr] 5s&lt;sup&gt;1&lt;/sup&gt; 4d&lt;sup&gt;5&lt;/sup&gt;</t>
  </si>
  <si>
    <t>[Ar] 4s&lt;sup&gt;2&lt;/sup&gt; 3d&lt;sup&gt;6&lt;/sup&gt;</t>
  </si>
  <si>
    <t>[Kr] 5s&lt;sup&gt;1&lt;/sup&gt; 4d&lt;sup&gt;6&lt;/sup&gt;</t>
  </si>
  <si>
    <t>[Ar] 4s&lt;sup&gt;2&lt;/sup&gt; 3d&lt;sup&gt;7&lt;/sup&gt;</t>
  </si>
  <si>
    <t>[Kr] 5s&lt;sup&gt;1&lt;/sup&gt; 4d&lt;sup&gt;7&lt;/sup&gt;</t>
  </si>
  <si>
    <t>[Ar] 4s&lt;sup&gt;2&lt;/sup&gt; 3d&lt;sup&gt;8&lt;/sup&gt;</t>
  </si>
  <si>
    <t>[Kr] 5s&lt;sup&gt;1&lt;/sup&gt; 4d&lt;sup&gt;8&lt;/sup&gt;</t>
  </si>
  <si>
    <t>[Ar] 4s&lt;sup&gt;1&lt;/sup&gt; 3d&lt;sup&gt;10&lt;/sup&gt;</t>
  </si>
  <si>
    <t>[Ar] 4s&lt;sup&gt;2&lt;/sup&gt; 3d&lt;sup&gt;10&lt;/sup&gt;</t>
  </si>
  <si>
    <t>[Ar] 4s&lt;sup&gt;2&lt;/sup&gt; 3d&lt;sup&gt;10&lt;/sup&gt; 4p&lt;sup&gt;1&lt;/sup&gt;</t>
  </si>
  <si>
    <t>[Ar] 4s&lt;sup&gt;2&lt;/sup&gt; 3d&lt;sup&gt;10&lt;/sup&gt; 4p&lt;sup&gt;2&lt;/sup&gt;</t>
  </si>
  <si>
    <t>[Ar] 4s&lt;sup&gt;2&lt;/sup&gt; 3d&lt;sup&gt;10&lt;/sup&gt; 4p&lt;sup&gt;3&lt;/sup&gt;</t>
  </si>
  <si>
    <t>[Ar] 4s&lt;sup&gt;2&lt;/sup&gt; 3d&lt;sup&gt;10&lt;/sup&gt; 4p&lt;sup&gt;4&lt;/sup&gt;</t>
  </si>
  <si>
    <t>[Ar] 4s&lt;sup&gt;2&lt;/sup&gt; 3d&lt;sup&gt;10&lt;/sup&gt; 4p&lt;sup&gt;5&lt;/sup&gt;</t>
  </si>
  <si>
    <t>[Ar] 4s&lt;sup&gt;2&lt;/sup&gt; 3d&lt;sup&gt;10&lt;/sup&gt; 4p&lt;sup&gt;6&lt;/sup&gt;</t>
  </si>
  <si>
    <t>[Kr] 4d&lt;sup&gt;10&lt;/sup&gt;</t>
  </si>
  <si>
    <t>[Kr] 5s&lt;sup&gt;1&lt;/sup&gt; 4d&lt;sup&gt;10&lt;/sup&gt;</t>
  </si>
  <si>
    <t>[Kr] 5s&lt;sup&gt;2&lt;/sup&gt; 4d&lt;sup&gt;10&lt;/sup&gt;</t>
  </si>
  <si>
    <t>[Kr] 5s&lt;sup&gt;2&lt;/sup&gt; 4d&lt;sup&gt;10&lt;/sup&gt; 5p&lt;sup&gt;1&lt;/sup&gt;</t>
  </si>
  <si>
    <t>[Kr] 5s&lt;sup&gt;2&lt;/sup&gt; 4d&lt;sup&gt;10&lt;/sup&gt; 5p&lt;sup&gt;2&lt;/sup&gt;</t>
  </si>
  <si>
    <t>[Kr] 5s&lt;sup&gt;2&lt;/sup&gt; 4d&lt;sup&gt;10&lt;/sup&gt; 5p&lt;sup&gt;3&lt;/sup&gt;</t>
  </si>
  <si>
    <t>[Kr] 5s&lt;sup&gt;2&lt;/sup&gt; 4d&lt;sup&gt;10&lt;/sup&gt; 5p&lt;sup&gt;4&lt;/sup&gt;</t>
  </si>
  <si>
    <t>[Kr] 5s&lt;sup&gt;2&lt;/sup&gt; 4d&lt;sup&gt;10&lt;/sup&gt; 5p&lt;sup&gt;5&lt;/sup&gt;</t>
  </si>
  <si>
    <t>[Kr] 5s&lt;sup&gt;2&lt;/sup&gt; 4d&lt;sup&gt;10&lt;/sup&gt; 5p&lt;sup&gt;6&lt;/sup&gt;</t>
  </si>
  <si>
    <t>[Xe] 6s&lt;sup&gt;2&lt;/sup&gt; 4f&lt;sup&gt;10&lt;/sup&gt;</t>
  </si>
  <si>
    <t>[Rn] 7s&lt;sup&gt;2&lt;/sup&gt; 5f&lt;sup&gt;10&lt;/sup&gt;</t>
  </si>
  <si>
    <t>[Xe] 6s&lt;sup&gt;2&lt;/sup&gt; 4f&lt;sup&gt;1&lt;/sup&gt;1</t>
  </si>
  <si>
    <t>[Xe] 6s&lt;sup&gt;2&lt;/sup&gt; 4f&lt;sup&gt;1&lt;/sup&gt;2</t>
  </si>
  <si>
    <t>[Xe] 6s&lt;sup&gt;2&lt;/sup&gt; 4f&lt;sup&gt;1&lt;/sup&gt;3</t>
  </si>
  <si>
    <t>[Xe] 6s&lt;sup&gt;2&lt;/sup&gt; 4f&lt;sup&gt;1&lt;/sup&gt;4</t>
  </si>
  <si>
    <t>[Xe] 6s&lt;sup&gt;2&lt;/sup&gt; 4f&lt;sup&gt;1&lt;/sup&gt;4 5d&lt;sup&gt;1&lt;/sup&gt;</t>
  </si>
  <si>
    <t>[Xe] 6s&lt;sup&gt;2&lt;/sup&gt; 4f&lt;sup&gt;1&lt;/sup&gt;4 5d&lt;sup&gt;2&lt;/sup&gt;</t>
  </si>
  <si>
    <t>[Xe] 6s&lt;sup&gt;2&lt;/sup&gt; 4f&lt;sup&gt;1&lt;/sup&gt;4 5d&lt;sup&gt;3&lt;/sup&gt;</t>
  </si>
  <si>
    <t>[Xe] 6s&lt;sup&gt;2&lt;/sup&gt; 4f&lt;sup&gt;1&lt;/sup&gt;4 5d&lt;sup&gt;4&lt;/sup&gt;</t>
  </si>
  <si>
    <t>[Xe] 6s&lt;sup&gt;2&lt;/sup&gt; 4f&lt;sup&gt;1&lt;/sup&gt;4 5d&lt;sup&gt;5&lt;/sup&gt;</t>
  </si>
  <si>
    <t>[Xe] 6s&lt;sup&gt;2&lt;/sup&gt; 4f&lt;sup&gt;1&lt;/sup&gt;4 5d&lt;sup&gt;6&lt;/sup&gt;</t>
  </si>
  <si>
    <t>[Xe] 6s&lt;sup&gt;2&lt;/sup&gt; 4f&lt;sup&gt;1&lt;/sup&gt;4 5d&lt;sup&gt;7&lt;/sup&gt;</t>
  </si>
  <si>
    <t>[Xe] 6s&lt;sup&gt;1&lt;/sup&gt; 4f&lt;sup&gt;1&lt;/sup&gt;4 5d&lt;sup&gt;9&lt;/sup&gt;</t>
  </si>
  <si>
    <t>[Xe] 6s&lt;sup&gt;1&lt;/sup&gt; 4f&lt;sup&gt;1&lt;/sup&gt;4 5d&lt;sup&gt;10&lt;/sup&gt;</t>
  </si>
  <si>
    <t>[Xe] 6s&lt;sup&gt;2&lt;/sup&gt; 4f&lt;sup&gt;1&lt;/sup&gt;4 5d&lt;sup&gt;10&lt;/sup&gt;</t>
  </si>
  <si>
    <t>[Xe] 6s&lt;sup&gt;2&lt;/sup&gt; 4f&lt;sup&gt;1&lt;/sup&gt;4 5d&lt;sup&gt;10&lt;/sup&gt; 6p&lt;sup&gt;1&lt;/sup&gt;</t>
  </si>
  <si>
    <t>[Xe] 6s&lt;sup&gt;2&lt;/sup&gt; 4f&lt;sup&gt;1&lt;/sup&gt;4 5d&lt;sup&gt;10&lt;/sup&gt; 6p&lt;sup&gt;2&lt;/sup&gt;</t>
  </si>
  <si>
    <t>[Xe] 6s&lt;sup&gt;2&lt;/sup&gt; 4f&lt;sup&gt;1&lt;/sup&gt;4 5d&lt;sup&gt;10&lt;/sup&gt; 6p&lt;sup&gt;3&lt;/sup&gt;</t>
  </si>
  <si>
    <t>[Xe] 6s&lt;sup&gt;2&lt;/sup&gt; 4f&lt;sup&gt;1&lt;/sup&gt;4 5d&lt;sup&gt;10&lt;/sup&gt; 6p&lt;sup&gt;4&lt;/sup&gt;</t>
  </si>
  <si>
    <t>[Xe] 6s&lt;sup&gt;2&lt;/sup&gt; 4f&lt;sup&gt;1&lt;/sup&gt;4 5d&lt;sup&gt;10&lt;/sup&gt; 6p&lt;sup&gt;5&lt;/sup&gt;</t>
  </si>
  <si>
    <t>[Xe] 6s&lt;sup&gt;2&lt;/sup&gt; 4f&lt;sup&gt;1&lt;/sup&gt;4 5d&lt;sup&gt;10&lt;/sup&gt; 6p&lt;sup&gt;6&lt;/sup&gt;</t>
  </si>
  <si>
    <t>[Xe] 6s&lt;sup&gt;2&lt;/sup&gt; 4f&lt;sup&gt;2&lt;/sup&gt;</t>
  </si>
  <si>
    <t>[Rn] 7s&lt;sup&gt;2&lt;/sup&gt; 6d&lt;sup&gt;1&lt;/sup&gt; 5f&lt;sup&gt;2&lt;/sup&gt;</t>
  </si>
  <si>
    <t>[Xe] 6s&lt;sup&gt;2&lt;/sup&gt; 4f&lt;sup&gt;4&lt;/sup&gt; </t>
  </si>
  <si>
    <t>[Rn] 7s&lt;sup&gt;2&lt;/sup&gt; 6d&lt;sup&gt;1&lt;/sup&gt; 5f&lt;sup&gt;4&lt;/sup&gt;</t>
  </si>
  <si>
    <t>[Xe] 6s&lt;sup&gt;2&lt;/sup&gt; 4f&lt;sup&gt;5&lt;/sup&gt;</t>
  </si>
  <si>
    <t>[Xe] 6s&lt;sup&gt;2&lt;/sup&gt; 4f&lt;sup&gt;6&lt;/sup&gt;</t>
  </si>
  <si>
    <t>[Rn] 7s&lt;sup&gt;2&lt;/sup&gt; 5f&lt;sup&gt;6&lt;/sup&gt;</t>
  </si>
  <si>
    <t>[Xe] 6s&lt;sup&gt;2&lt;/sup&gt; 4f&lt;sup&gt;7&lt;/sup&gt;</t>
  </si>
  <si>
    <t>[Xe] 6s&lt;sup&gt;2&lt;/sup&gt; 4f&lt;sup&gt;7&lt;/sup&gt; 5d&lt;sup&gt;1&lt;/sup&gt;</t>
  </si>
  <si>
    <t>[Rn] 7s&lt;sup&gt;2&lt;/sup&gt; 5f&lt;sup&gt;7&lt;/sup&gt;</t>
  </si>
  <si>
    <t>[Rn] 7s&lt;sup&gt;2&lt;/sup&gt; 6d&lt;sup&gt;1&lt;/sup&gt; 5f&lt;sup&gt;7&lt;/sup&gt;</t>
  </si>
  <si>
    <t>[Xe] 6s&lt;sup&gt;2&lt;/sup&gt; 4f&lt;sup&gt;9&lt;/sup&gt;</t>
  </si>
  <si>
    <t>[Rn] 7s&lt;sup&gt;2&lt;/sup&gt; 5f&lt;sup&gt;9&lt;/sup&gt;</t>
  </si>
  <si>
    <t>[Rn] 7s&lt;sup&gt;2&lt;/sup&gt; 5f&lt;sup&gt;11&lt;/sup&gt;</t>
  </si>
  <si>
    <t>[Rn] 7s&lt;sup&gt;2&lt;/sup&gt; 5f&lt;sup&gt;12&lt;/sup&gt;</t>
  </si>
  <si>
    <t>[Rn] 7s&lt;sup&gt;2&lt;/sup&gt; 5f&lt;sup&gt;13&lt;/sup&gt;</t>
  </si>
  <si>
    <t>[Rn] 7s&lt;sup&gt;2&lt;/sup&gt; 5f&lt;sup&gt;14&lt;/sup&gt;</t>
  </si>
  <si>
    <t>[Rn] 7s&lt;sup&gt;2&lt;/sup&gt; 6d&lt;sup&gt;1&lt;/sup&gt; 5f&lt;sup&gt;14&lt;/sup&gt;</t>
  </si>
  <si>
    <t>pre</t>
  </si>
  <si>
    <t>next</t>
  </si>
  <si>
    <t>Metall</t>
  </si>
  <si>
    <t>Nichtmetall</t>
  </si>
  <si>
    <t>Halbmetall</t>
  </si>
  <si>
    <t>Altertum</t>
  </si>
  <si>
    <t>radioaktiv</t>
  </si>
  <si>
    <t>I</t>
  </si>
  <si>
    <t>hoch</t>
  </si>
  <si>
    <t>runter</t>
  </si>
  <si>
    <t>Periode = Schale</t>
  </si>
  <si>
    <t>Nicht-metalle</t>
  </si>
  <si>
    <t>Halb-metalle</t>
  </si>
  <si>
    <r>
      <t>I A (</t>
    </r>
    <r>
      <rPr>
        <b/>
        <sz val="12.5"/>
        <color indexed="48"/>
        <rFont val="Arial"/>
        <family val="2"/>
      </rPr>
      <t>1</t>
    </r>
    <r>
      <rPr>
        <sz val="12.5"/>
        <color indexed="48"/>
        <rFont val="Arial"/>
        <family val="2"/>
      </rPr>
      <t>)</t>
    </r>
  </si>
  <si>
    <t>1,87 g/cm³</t>
  </si>
  <si>
    <t xml:space="preserve"> </t>
  </si>
  <si>
    <t>(6.) Lanthanoide</t>
  </si>
  <si>
    <t>(7.) Actinoide</t>
  </si>
  <si>
    <t>radio-aktiv *</t>
  </si>
  <si>
    <t>Praseodymium</t>
  </si>
  <si>
    <t>Hydrogen</t>
  </si>
  <si>
    <t>Platinum</t>
  </si>
  <si>
    <t>Arsenic</t>
  </si>
  <si>
    <t>Astatine</t>
  </si>
  <si>
    <t>Boron</t>
  </si>
  <si>
    <t>Iodine</t>
  </si>
  <si>
    <t>Bismuth</t>
  </si>
  <si>
    <t>Sulfur</t>
  </si>
  <si>
    <t>Lanthanum</t>
  </si>
  <si>
    <t>Bromine</t>
  </si>
  <si>
    <t>Carbon</t>
  </si>
  <si>
    <t>Selenium</t>
  </si>
  <si>
    <t>Silicon</t>
  </si>
  <si>
    <t>Cerium</t>
  </si>
  <si>
    <t>Manganese</t>
  </si>
  <si>
    <t>Chlorine</t>
  </si>
  <si>
    <t>Molybdenum</t>
  </si>
  <si>
    <t>Tantalum</t>
  </si>
  <si>
    <t>Nitrogen</t>
  </si>
  <si>
    <t>Chromium</t>
  </si>
  <si>
    <t>Niobium</t>
  </si>
  <si>
    <t>Tellurium</t>
  </si>
  <si>
    <t>Neodymium</t>
  </si>
  <si>
    <t>Titanium</t>
  </si>
  <si>
    <t>Uranium</t>
  </si>
  <si>
    <t>Oxygen</t>
  </si>
  <si>
    <t>Fluorine</t>
  </si>
  <si>
    <t>Phosphorus</t>
  </si>
  <si>
    <t>Zinc</t>
  </si>
  <si>
    <t>Tungsten</t>
  </si>
  <si>
    <t>Potassium</t>
  </si>
  <si>
    <t>Sodium</t>
  </si>
  <si>
    <t>natürlich</t>
  </si>
  <si>
    <t>OZ</t>
  </si>
  <si>
    <t>MZ</t>
  </si>
  <si>
    <t>Ordnungszahl</t>
  </si>
  <si>
    <t>Symbol</t>
  </si>
  <si>
    <t>Name</t>
  </si>
  <si>
    <t>Atommasse</t>
  </si>
  <si>
    <t>EN</t>
  </si>
  <si>
    <t>BP</t>
  </si>
  <si>
    <t>MP</t>
  </si>
  <si>
    <t>Dichte</t>
  </si>
  <si>
    <t>Ionenradius</t>
  </si>
  <si>
    <t>H</t>
  </si>
  <si>
    <t>Wasserstoff</t>
  </si>
  <si>
    <t>England</t>
  </si>
  <si>
    <t>-</t>
  </si>
  <si>
    <t>farblos</t>
  </si>
  <si>
    <t>rot</t>
  </si>
  <si>
    <t>He</t>
  </si>
  <si>
    <t>Helium</t>
  </si>
  <si>
    <t>Schottland</t>
  </si>
  <si>
    <t>Li</t>
  </si>
  <si>
    <t>Lithium</t>
  </si>
  <si>
    <t>Schweden</t>
  </si>
  <si>
    <t>159.4</t>
  </si>
  <si>
    <t>Be</t>
  </si>
  <si>
    <t>Beryllium</t>
  </si>
  <si>
    <t>Frankreich</t>
  </si>
  <si>
    <t>324.3</t>
  </si>
  <si>
    <t>grau-weiß</t>
  </si>
  <si>
    <t>B</t>
  </si>
  <si>
    <t>Bor</t>
  </si>
  <si>
    <t>562.7</t>
  </si>
  <si>
    <t>gelb-braun</t>
  </si>
  <si>
    <t>C</t>
  </si>
  <si>
    <t>Kohlenstoff</t>
  </si>
  <si>
    <t>716.7</t>
  </si>
  <si>
    <t>schwarz</t>
  </si>
  <si>
    <t>N</t>
  </si>
  <si>
    <t>Stickstoff</t>
  </si>
  <si>
    <t>472.7</t>
  </si>
  <si>
    <t>O</t>
  </si>
  <si>
    <t>Sauerstoff</t>
  </si>
  <si>
    <t>249.2</t>
  </si>
  <si>
    <t>F</t>
  </si>
  <si>
    <t>Fluor</t>
  </si>
  <si>
    <t>grün-gelb</t>
  </si>
  <si>
    <t>Ne</t>
  </si>
  <si>
    <t>Neon</t>
  </si>
  <si>
    <t>Na</t>
  </si>
  <si>
    <t>Natrium</t>
  </si>
  <si>
    <t>107.3</t>
  </si>
  <si>
    <t>gelb</t>
  </si>
  <si>
    <t>Mg</t>
  </si>
  <si>
    <t>Magnesium</t>
  </si>
  <si>
    <t>147.7</t>
  </si>
  <si>
    <t>weiß</t>
  </si>
  <si>
    <t>Al</t>
  </si>
  <si>
    <t>Aluminium</t>
  </si>
  <si>
    <t>Dänemark</t>
  </si>
  <si>
    <t>326.4</t>
  </si>
  <si>
    <t>Si</t>
  </si>
  <si>
    <t>Silicium</t>
  </si>
  <si>
    <t>455.6</t>
  </si>
  <si>
    <t>dunkelgrau</t>
  </si>
  <si>
    <t>P</t>
  </si>
  <si>
    <t>Phosphor</t>
  </si>
  <si>
    <t>Deutschland</t>
  </si>
  <si>
    <t>314.6</t>
  </si>
  <si>
    <t>weiß/rot</t>
  </si>
  <si>
    <t>S</t>
  </si>
  <si>
    <t>Schwefel</t>
  </si>
  <si>
    <t>278.8</t>
  </si>
  <si>
    <t>Cl</t>
  </si>
  <si>
    <t>Chlor</t>
  </si>
  <si>
    <t>121.7</t>
  </si>
  <si>
    <t>12,3 Jahre</t>
  </si>
  <si>
    <t>53 Tage</t>
  </si>
  <si>
    <t>5730 Jahre</t>
  </si>
  <si>
    <t>2,6 Jahre</t>
  </si>
  <si>
    <t>1,27 Milliarden Jahre</t>
  </si>
  <si>
    <t>22,3 Jahre</t>
  </si>
  <si>
    <t>10,6 Stunden</t>
  </si>
  <si>
    <t>26,8 Minuten</t>
  </si>
  <si>
    <t>19,8 Minuten</t>
  </si>
  <si>
    <t>55 Sek</t>
  </si>
  <si>
    <t>3,82 Tage</t>
  </si>
  <si>
    <t>1600 Jahre</t>
  </si>
  <si>
    <t>14 Milliarden Jahre</t>
  </si>
  <si>
    <t>0,7 Milliarden Jahre</t>
  </si>
  <si>
    <t>4,5 Milliarden Jahre</t>
  </si>
  <si>
    <t>5,3 Jahre</t>
  </si>
  <si>
    <t>6,0 Stunden</t>
  </si>
  <si>
    <t>28,5 Jahre</t>
  </si>
  <si>
    <t>&lt;b&gt;&lt;i&gt;H&lt;/b&gt;ydrogenium&lt;/i&gt;</t>
  </si>
  <si>
    <t>&lt;b&gt;&lt;i&gt;C&lt;/b&gt;arbonium&lt;/i&gt;</t>
  </si>
  <si>
    <t>&lt;b&gt;&lt;i&gt;N&lt;/b&gt;itrogenium&lt;/i&gt;</t>
  </si>
  <si>
    <t>&lt;b&gt;&lt;i&gt;O&lt;/b&gt;xygenium&lt;/i&gt;</t>
  </si>
  <si>
    <t>&lt;/b&gt;'Fe&lt;/b&gt;rrum&lt;/i&gt;</t>
  </si>
  <si>
    <t>&lt;b&gt;&lt;i&gt;Cu&lt;/b&gt;prum&lt;/i&gt;</t>
  </si>
  <si>
    <t>&lt;b&gt;&lt;i&gt;A&lt;/b&gt;r&lt;/b&gt;g&lt;/b&gt;entum&lt;/i&gt;</t>
  </si>
  <si>
    <t>&lt;b&gt;&lt;i&gt;S&lt;/b&gt;ta&lt;/b&gt;n&lt;/b&gt;num&lt;/i&gt;</t>
  </si>
  <si>
    <t>&lt;b&gt;&lt;i&gt;S&lt;/b&gt;ti&lt;/b&gt;b&lt;/b&gt;ium&lt;/i&gt;</t>
  </si>
  <si>
    <t>&lt;b&gt;&lt;i&gt;Au&lt;/b&gt;rum&lt;/i&gt;</t>
  </si>
  <si>
    <t>&lt;b&gt;&lt;i&gt;H&lt;/b&gt;ydrar&lt;/b&gt;g&lt;/b&gt;yrum&lt;/i&gt;</t>
  </si>
  <si>
    <t>&lt;b&gt;&lt;i&gt;P&lt;/b&gt;lum&lt;/b&gt;b&lt;/b&gt;um&lt;/i&gt;</t>
  </si>
  <si>
    <t xml:space="preserve"> ist seit dem Altertum bekannt.</t>
  </si>
  <si>
    <t>www</t>
  </si>
  <si>
    <t>Die lat./griech. Elementbezeichnung Hydrogenium bedeutet "[[Wasser]]-Bildner", siehe [[Knallgasreaktion]].</t>
  </si>
  <si>
    <t>Der Name Helium leitet sich von griech. ''Helios'' = Sonne ab, denn es wurde erstmals aufgrund seiner Spektrallinien im Licht der Sonne nachgewiesen.</t>
  </si>
  <si>
    <t>Die Bezeichnung Beryllium leitet sich von Beryll ab, einem Edelstein, der Beryllium enthält.</t>
  </si>
  <si>
    <t>Borverbindungen (arabisch ''Buraq'' und lat. ''borax'' = borsaures Natron, Borax) sind seit Jahrtausenden bekannt. Im alten Ägypten nutzte man zur Mumifikation das Mineral Natron, das neben anderen Verbindungen auch Borate enthält.</t>
  </si>
  <si>
    <t>Wortherkunft von lat. ''carbo'' = Holzkohle.</t>
  </si>
  <si>
    <t>60 Tage</t>
  </si>
  <si>
    <t>Copernicium wurde erstmals 1996 bei der GSI in Darmstadt erzeugt.</t>
  </si>
  <si>
    <t>8 Tage</t>
  </si>
  <si>
    <t>2 Jahre</t>
  </si>
  <si>
    <t>30 Jahre</t>
  </si>
  <si>
    <t>74 Tage</t>
  </si>
  <si>
    <t>87,7 Jahre</t>
  </si>
  <si>
    <t>24110 Jahre</t>
  </si>
  <si>
    <t>433 Jahre</t>
  </si>
  <si>
    <t>stabil</t>
  </si>
  <si>
    <t>Herkunft, techn. Bedeutung</t>
  </si>
  <si>
    <t>[[radioaktiv]]</t>
  </si>
  <si>
    <t>[[radioaktiv]], Erdkruste, Kernenergie, Atomwaffen</t>
  </si>
  <si>
    <t>[[radioaktiv]], Erdkruste</t>
  </si>
  <si>
    <t>ca. 100</t>
  </si>
  <si>
    <t>6,6 Millionen Jahre</t>
  </si>
  <si>
    <t>[[radioaktiv]], Nuklearmedizin</t>
  </si>
  <si>
    <t>99m</t>
  </si>
  <si>
    <t>[[radioaktiv]], Kernwaffenfallout, Kerntechnik, Medizin</t>
  </si>
  <si>
    <t>[[radioaktiv]], Uran-Reihe, Erdboden, Luft</t>
  </si>
  <si>
    <t>[[radioaktiv]], Thorium-Reihe, Erdboden, Luft</t>
  </si>
  <si>
    <t>[[radioaktiv]], Uran-Reihe, Erdboden</t>
  </si>
  <si>
    <t>99z</t>
  </si>
  <si>
    <t>Halbwertszeit</t>
  </si>
  <si>
    <t>natürliche Häufigkeit</t>
  </si>
  <si>
    <t>[[radioaktiv]], Kerntechnik, Isotopenbatterien</t>
  </si>
  <si>
    <t>[[radioaktiv]], Kerntechnik, Kernwaffentechnik</t>
  </si>
  <si>
    <t>[[radioaktiv]], Kerntechnik, Brandmelder, Prüftechnik</t>
  </si>
  <si>
    <t>[[radioaktiv]], Prüftechnik, Medizin</t>
  </si>
  <si>
    <t>[[radioaktiv]], Leuchtfarben</t>
  </si>
  <si>
    <t>[[radioaktiv]], Kernwaffenfallout, Tschernobyl, Kerntechnik, Medizin</t>
  </si>
  <si>
    <t>[[radioaktiv]], Medizin, Kerntechnik</t>
  </si>
  <si>
    <t>[[radioaktiv]], Kerntechnik, Tschernobyl</t>
  </si>
  <si>
    <t>[[radioaktiv]], Medizin</t>
  </si>
  <si>
    <t>[[radioaktiv]], kosmogen</t>
  </si>
  <si>
    <t>[[radioaktiv]], kosmogen, Kernwaffenfallout, Leuchtfarben, Kerntechnik</t>
  </si>
  <si>
    <t>[[radioaktiv]], kosmogen, Kerntechnik, Medizin, [[Radiocarbonmethode]]</t>
  </si>
  <si>
    <t>Spalte N n. Word exportieren, &lt;br&gt; in Word d. Absatz ersetzen u. als" .txt mit Absatz" speichern, dann in Wiki-Tabelle einfügen</t>
  </si>
  <si>
    <t>Das Elementsymbol Ag leitet sich von dem lateinischen Wort '''A'''r'''g'''entum = Silber ab. Es ist neben Kupfer eines von nur zwei Elementen , welche Namensgeber für ein Land sind (Silber für Argentinien und Kupfer für Zypern), während der umgekehrte Fall häufiger vorkommt. Der deutsche Name Silber stammt vom althochdeutschen Wort Silabar, das möglicherweise auf Homers Sagenland ''Salybe'' zurückgeht.</t>
  </si>
  <si>
    <t>Astat (altgriechisch αστατεω = unbeständig, wegen des radioaktiven Zerfalls von Astat) wurde zuerst 1940 von Dale Corson, Kenneth MacKenzie und Emilio Segrè in der University of California künstlich hergestellt, und zwar durch Beschuss von Bismut mit Alphateilchen.</t>
  </si>
  <si>
    <t>Gold (von indogermanisch ''ghel'': glänzend, (gelb) ) ist ein chemisches Element und ein so genanntes Edelmetall, das chemische Kürzel Au für Gold ist auf die lateinische Bezeichnung ''Aurum'' zurückzuführen.</t>
  </si>
  <si>
    <t>Das Element Bismut kennt man wahrscheinlich schon seit der Antike. Der Name ''Wismut'' ist seit 1472 bekannt und geht vermutlich auf den ersten Ort der Gewinnung "in den Wiesen" am Schneeberg im Erzgebirge zurück. Es gibt jedoch auch andere Etymologien, beispielsweise von "weiß". Georgius Agricola benutzte die latinisierte Bezeichnung ''bismutum'', worauf der heutige Name zurückgeht.</t>
  </si>
  <si>
    <t>Chrom (von griech. chroma = Farbe (Die Salze von Chrom haben viele verschiedene Farben und werden oft als Pigmente in Farben und Lacke verwendet). 1761 entdeckte Johann Gottlob Lehmann ein orange-rotes Bleichromat-Mineral (PbCrO&lt;sub&gt;4&lt;/sub&gt;) im Ural_(Gebirge)|Ural, das er Rotbleierz nannte. Weil er es als eine Blei-Eisen-Selen-Verbindung identifizierte, blieb Chrom noch unentdeckt. 1770 fand Peter Simon Pallas an gleicher Stelle ein rotes Bleimineral, das wegen seiner Rotfärbung Krokoit (von griech. ''krokos'', safranfarben) genannt wurde. Die Verwendung von Rotbleierz als Farbpigment nahm schnell zu. Ein aus Krokoit gewonnenes strahlendes Gelb, das Chromgelb, wurde zur Modefarbe, vielen sicher noch als "Postgelb" in Erinnerung.</t>
  </si>
  <si>
    <t>Dysprosium (von griech. dysprósitos = unzugänglich)</t>
  </si>
  <si>
    <t>Der Name leitet sich von der Grube Ytterby bei Stockholm ab, wie auch der von Ytterbium, Terbium und Yttrium. Erbium (für Ytterby, einer schwedischen Stadt) wurde 1843 von Carl Gustav Mosander entdeckt.</t>
  </si>
  <si>
    <t>Der Name Fluor leitet sich über lateinisch fluor (= das Fließen) von Flussspat ab, dem wichtigsten Mineral, das Fluor enthält.</t>
  </si>
  <si>
    <t>Der Name stammt vom altgriechischen Wort ''lithos'' = Stein, da Lithium zuerst im Gestein nachgewiesen wurde).</t>
  </si>
  <si>
    <t xml:space="preserve">Neon (von altgriech. νέος = neu). Neon (griechisch ''neos'' für neu) </t>
  </si>
  <si>
    <t>Natrium (von Ägyptische Sprache|ägypt. ''netjer'' = Natron aus Arabische Sprache|arab. ''natrun'' = Natron, da Natrium den Hauptbestandteil von Natron bildet, veraltete und englisch-französische Bezeichnung ''Sodium'')</t>
  </si>
  <si>
    <t>Aluminium hat seinen Namen vom lateinischen Wort alumen (= Alaun).</t>
  </si>
  <si>
    <t>Phosphor''' (von griechische Sprache|griechisch φως-φορος = lichttragend, vom Leuchten des weißen Phosphors). Phosphor wurde 1669 von Hennig Brand, einem deutschen Apotheker und Alchemisten, entdeckt, als dieser - auf der Suche nach dem "Stein der Weisen" - Urin destillierte und der Rückstand glühte.</t>
  </si>
  <si>
    <t>Chlor (von griechisch chlorós = gelblich grün, wegen der gelbgrünen Farbe von Chlorgas)</t>
  </si>
  <si>
    <t>L-Abk. bzw. redirect</t>
  </si>
  <si>
    <t xml:space="preserve"> 1. von griech. Magnetstein, 2. von Magnesia (Griechenland), einem Gebiet im östlichen Griechenland und 3.  von Magnesia, einer Stadt in Kleinasien, auf dem Gebiet der heutigen Türkei.</t>
  </si>
  <si>
    <t>Argon hat seine Bezeichnung vom griechischen Wort argon - das träge Element - wegen seiner chemischen Reaktionsträgheit</t>
  </si>
  <si>
    <t>'Kalium''', (von Kali aus Arabische Sprache|arab. ''al qalja'' = Pflanzenasche).  Kalium (von arab.: al-qali = Asche, aus Pflanzenasche gewinnbar)</t>
  </si>
  <si>
    <t>er Begriff Silizium leitet sich vom lateinischen Wort ''silex'' (Kieselstein, Feuerstein) ab. Er bringt zum Ausdruck, dass Silizium häufiger Bestandteil vieler Minerale ist.</t>
  </si>
  <si>
    <t>silbrig-grau</t>
  </si>
  <si>
    <t>silbrig weiß</t>
  </si>
  <si>
    <t>metallisch glänzend</t>
  </si>
  <si>
    <t>in seiner Farbe unbekannt</t>
  </si>
  <si>
    <t>silbrig</t>
  </si>
  <si>
    <t>silbrig glänzend</t>
  </si>
  <si>
    <t>silbrig-weiß</t>
  </si>
  <si>
    <t>silbrig-gelb</t>
  </si>
  <si>
    <t>silbrigweiß</t>
  </si>
  <si>
    <t>silbriggrau</t>
  </si>
  <si>
    <t>silbrigweiß glänzend</t>
  </si>
  <si>
    <t>WL</t>
  </si>
  <si>
    <t>Sammlung</t>
  </si>
  <si>
    <t>nichda</t>
  </si>
  <si>
    <t>Sauerstoff''' (auch ''Oxygenium;'' von griech. ''oxýs'' „scharf, spitz, sauer“ und ''genese'' „erzeugen“).Früher machte man den Sauerstoff für die Bildung von Säuren verantwortlich.</t>
  </si>
  <si>
    <t>Copernicium</t>
  </si>
  <si>
    <t>Quecksilber bedeutet ursprünglich "lebendiges Silber" (althochdeutsch ''quecsilbar'' zu Germanische Sprachen|germanisch ''kwikw'' = ''lebendig''). Aufgrund seiner hohen Oberflächenspannung benetzt Quecksilber seine Unterlage nicht, sondern bildet abgeplattete einzelne Tröpfchen (Kohäsion). Das chemische Symbol des Quecksilbers ist '''Hg'''. Das ist die Abkürzung für ''hydrargyrum'', zusammengesetzt aus der Vorsilbe ''hydr-'' und ''argyron = Silber'', was aus dem Griechischen mit "flüssiges Silber" übersetzt werden kann.</t>
  </si>
  <si>
    <t>Erst 1911 gelang dem schwedischen Chemiker Holmberg die Gewinnung von reinem Holmiumoxid. Ob er die Bezeichnung Holmium, vorgeschlagen von Cleve für die schwedische Landeshauptstadt Stockholm, übernahm oder als Ableitung seines eigenen Namens betrachtete, ist nicht bekannt.</t>
  </si>
  <si>
    <t>Dieses Element wurde nach Ernest Lawrence benannt. Er ist der Erfinder des Zyklotrons, einem Teilchenbeschleuniger, der eine wichtige Voraussetzung zur Entdeckung vieler Transuranium-Elemente war.</t>
  </si>
  <si>
    <t>Mangan kommt vom von französischen Wort manganèse (= schwarze Magnesia).</t>
  </si>
  <si>
    <t>Das Elementsymbol N leitet sich von der lateinischen Bezeichnung nitrogenium (von altgriech. νιτρον „Laugensalz“ und altgriech. γενος „Herkunft“) ab. Die deutsche Bezeichnung Stickstoff erinnert daran, dass molekularer Stickstoff Flammen löscht („erstickt“).</t>
  </si>
  <si>
    <t>''Niob''' (nach Niobe - der Tochter des Tantalus -, Hatchett fand Niob in Columbiterz, Tocvhter des Tantalos, wg. Vergesellschaftung mit Tantal</t>
  </si>
  <si>
    <t xml:space="preserve">Blei (lat. plumbum, von plumbeus: bleiern, stumpf, bleischwer) ist ein chemisches Element. Chemisches Symbol: Pb. Der Name Blei ist indogermanischen Ursprungs und bedeutet soviel wie schimmernd, leuchtend oder glänzend. </t>
  </si>
  <si>
    <t>Polonium wurde 1898 von Marie und Pierre Curie entdeckt. Den Namen gab Marie Curie dem Element zu Ehren ihres Heimatlandes Polen.</t>
  </si>
  <si>
    <t xml:space="preserve">Schwefel (chemisch nach dem Lateinischen Sulphur oder Sulfur genannt, im Deutschen eventuell vom Indogermanischen *suel- „schwelen" abgeleitet). </t>
  </si>
  <si>
    <t>Cn</t>
  </si>
  <si>
    <t>(6.)</t>
  </si>
  <si>
    <t>(7.)</t>
  </si>
  <si>
    <t>radioaktives Element, angegeben ist</t>
  </si>
  <si>
    <t>*</t>
  </si>
  <si>
    <t>Fl</t>
  </si>
  <si>
    <t>Flerovium</t>
  </si>
  <si>
    <t>Livermorium</t>
  </si>
  <si>
    <t>Lv</t>
  </si>
  <si>
    <t>Ununtrium</t>
  </si>
  <si>
    <r>
      <rPr>
        <b/>
        <sz val="10"/>
        <rFont val="Arial"/>
        <family val="2"/>
      </rPr>
      <t>U</t>
    </r>
    <r>
      <rPr>
        <sz val="10"/>
        <rFont val="Arial"/>
        <family val="2"/>
      </rPr>
      <t>ran</t>
    </r>
  </si>
  <si>
    <t>die Atommasse des stabilsten Isotops</t>
  </si>
  <si>
    <r>
      <t xml:space="preserve">Gruppe: </t>
    </r>
    <r>
      <rPr>
        <sz val="11"/>
        <color indexed="48"/>
        <rFont val="Arial"/>
        <family val="2"/>
      </rPr>
      <t>A = Hauptgruppe</t>
    </r>
    <r>
      <rPr>
        <sz val="11"/>
        <rFont val="Arial"/>
        <family val="2"/>
      </rPr>
      <t xml:space="preserve">,  </t>
    </r>
    <r>
      <rPr>
        <sz val="11"/>
        <color indexed="61"/>
        <rFont val="Arial"/>
        <family val="2"/>
      </rPr>
      <t>B = Nebengruppe</t>
    </r>
  </si>
  <si>
    <t>-272 °C</t>
  </si>
  <si>
    <t>1.410 °C</t>
  </si>
  <si>
    <t>1.900 °C</t>
  </si>
  <si>
    <t>1.460 °C</t>
  </si>
  <si>
    <t>2.000 °C</t>
  </si>
  <si>
    <t>3.000 °C</t>
  </si>
  <si>
    <t>1.050 °C</t>
  </si>
  <si>
    <t>1.330 °C</t>
  </si>
  <si>
    <t>1.110 °C</t>
  </si>
  <si>
    <t>2.730 °C</t>
  </si>
  <si>
    <t>3.260 °C</t>
  </si>
  <si>
    <t>2.100 °C</t>
  </si>
  <si>
    <t>2.900 °C</t>
  </si>
  <si>
    <t>2.600 °C</t>
  </si>
  <si>
    <t>2.400 °C</t>
  </si>
  <si>
    <t>2.830 °C</t>
  </si>
  <si>
    <t>1.380 °C</t>
  </si>
  <si>
    <t>2.930 °C</t>
  </si>
  <si>
    <t>2.210 °C</t>
  </si>
  <si>
    <t>3.470 °C</t>
  </si>
  <si>
    <t>3.130 °C</t>
  </si>
  <si>
    <t>3.030 °C</t>
  </si>
  <si>
    <t>1.440 °C</t>
  </si>
  <si>
    <t>1.430 °C</t>
  </si>
  <si>
    <t>3.330 °C</t>
  </si>
  <si>
    <t>5.930 °C</t>
  </si>
  <si>
    <t>5.630 °C</t>
  </si>
  <si>
    <t>2.970 °C</t>
  </si>
  <si>
    <t>1.560 °C</t>
  </si>
  <si>
    <t>2.627 °C</t>
  </si>
  <si>
    <t>1.470 °C</t>
  </si>
  <si>
    <t>1.568 °C</t>
  </si>
  <si>
    <t>4.027 °C</t>
  </si>
  <si>
    <t>2,7 g/cm³</t>
  </si>
  <si>
    <t>2,07 g/cm³</t>
  </si>
  <si>
    <t>3,12 g/cm³</t>
  </si>
  <si>
    <t>12,37 g/cm³</t>
  </si>
  <si>
    <t>6,24 g/cm³</t>
  </si>
  <si>
    <t>7,2 g/cm³</t>
  </si>
  <si>
    <t>22,56 g/cm³</t>
  </si>
  <si>
    <t>9,78 g/cm³</t>
  </si>
  <si>
    <t>19,16 g/cm³</t>
  </si>
  <si>
    <t>20,45 g/cm³</t>
  </si>
  <si>
    <t>14,78 g/cm³</t>
  </si>
  <si>
    <t>8,84 g/cm³</t>
  </si>
  <si>
    <t>181 °C</t>
  </si>
  <si>
    <t>1.287 °C</t>
  </si>
  <si>
    <t>2.076 °C</t>
  </si>
  <si>
    <t>3.642 °C</t>
  </si>
  <si>
    <t>-218 °C</t>
  </si>
  <si>
    <t>115 °C</t>
  </si>
  <si>
    <t>-102 °C</t>
  </si>
  <si>
    <t>63 °C</t>
  </si>
  <si>
    <t>842 °C</t>
  </si>
  <si>
    <t>1.541 °C</t>
  </si>
  <si>
    <t>1.668 °C</t>
  </si>
  <si>
    <t>1.910 °C</t>
  </si>
  <si>
    <t>1.907 °C</t>
  </si>
  <si>
    <t>1.246 °C</t>
  </si>
  <si>
    <t>1.538 °C</t>
  </si>
  <si>
    <t>1.495 °C</t>
  </si>
  <si>
    <t>1.455 °C</t>
  </si>
  <si>
    <t>1.085 °C</t>
  </si>
  <si>
    <t>420 °C</t>
  </si>
  <si>
    <t>938 °C</t>
  </si>
  <si>
    <t>221 °C</t>
  </si>
  <si>
    <t>777 °C</t>
  </si>
  <si>
    <t>1.526 °C</t>
  </si>
  <si>
    <t>1.857 °C</t>
  </si>
  <si>
    <t>2.477 °C</t>
  </si>
  <si>
    <t>2.623 °C</t>
  </si>
  <si>
    <t>2.157 °C</t>
  </si>
  <si>
    <t>2.334 °C</t>
  </si>
  <si>
    <t>1.964 °C</t>
  </si>
  <si>
    <t>1.555 °C</t>
  </si>
  <si>
    <t>157 °C</t>
  </si>
  <si>
    <t>28 °C</t>
  </si>
  <si>
    <t>727 °C</t>
  </si>
  <si>
    <t>1.024 °C</t>
  </si>
  <si>
    <t>1.080 °C</t>
  </si>
  <si>
    <t>1.072 °C</t>
  </si>
  <si>
    <t>1.312 °C</t>
  </si>
  <si>
    <t>1.356 °C</t>
  </si>
  <si>
    <t>1.407 °C</t>
  </si>
  <si>
    <t>1.461 °C</t>
  </si>
  <si>
    <t>1.529 °C</t>
  </si>
  <si>
    <t>1.545 °C</t>
  </si>
  <si>
    <t>1.652 °C</t>
  </si>
  <si>
    <t>2.233 °C</t>
  </si>
  <si>
    <t>3.017 °C</t>
  </si>
  <si>
    <t>3.422 °C</t>
  </si>
  <si>
    <t>3.186 °C</t>
  </si>
  <si>
    <t>2.466 °C</t>
  </si>
  <si>
    <t>1.768 °C</t>
  </si>
  <si>
    <t>1.064 °C</t>
  </si>
  <si>
    <t>304 °C</t>
  </si>
  <si>
    <t>1.755 °C</t>
  </si>
  <si>
    <t>1.133 °C</t>
  </si>
  <si>
    <t>639 °C</t>
  </si>
  <si>
    <t>1.176 °C</t>
  </si>
  <si>
    <t>1.340 °C</t>
  </si>
  <si>
    <t>852 °C</t>
  </si>
  <si>
    <t>-252 °C</t>
  </si>
  <si>
    <t>2.969 °C</t>
  </si>
  <si>
    <t>3.930 °C</t>
  </si>
  <si>
    <t>890 °C</t>
  </si>
  <si>
    <t>2.470 °C</t>
  </si>
  <si>
    <t>774 °C</t>
  </si>
  <si>
    <t>1.487 °C</t>
  </si>
  <si>
    <t>3.407 °C</t>
  </si>
  <si>
    <t>2.482 °C</t>
  </si>
  <si>
    <t>2.595 °C</t>
  </si>
  <si>
    <t>907 °C</t>
  </si>
  <si>
    <t>59 °C</t>
  </si>
  <si>
    <t>4.377 °C</t>
  </si>
  <si>
    <t>4.744 °C</t>
  </si>
  <si>
    <t>4.612 °C</t>
  </si>
  <si>
    <t>4.265 °C</t>
  </si>
  <si>
    <t>4.150 °C</t>
  </si>
  <si>
    <t>3.727 °C</t>
  </si>
  <si>
    <t>2.960 °C</t>
  </si>
  <si>
    <t>2.620 °C</t>
  </si>
  <si>
    <t>1.635 °C</t>
  </si>
  <si>
    <t>990 °C</t>
  </si>
  <si>
    <t>184 °C</t>
  </si>
  <si>
    <t>1.637 °C</t>
  </si>
  <si>
    <t>3.123 °C</t>
  </si>
  <si>
    <t>1.950 °C</t>
  </si>
  <si>
    <t>4.603 °C</t>
  </si>
  <si>
    <t>5.420 °C</t>
  </si>
  <si>
    <t>5.000 °C</t>
  </si>
  <si>
    <t>4.130 °C</t>
  </si>
  <si>
    <t>3.827 °C</t>
  </si>
  <si>
    <t>1.744 °C</t>
  </si>
  <si>
    <t>677 °C</t>
  </si>
  <si>
    <t>1.737 °C</t>
  </si>
  <si>
    <t>3.300 °C</t>
  </si>
  <si>
    <t>4.788 °C</t>
  </si>
  <si>
    <t>3.902 °C</t>
  </si>
  <si>
    <t>3.230 °C</t>
  </si>
  <si>
    <t>2.607 °C</t>
  </si>
  <si>
    <t>3.110 °C</t>
  </si>
  <si>
    <t>996 °C</t>
  </si>
  <si>
    <t>5,9 g/cm³</t>
  </si>
  <si>
    <t>6,7 g/cm³</t>
  </si>
  <si>
    <t>9,2 g/cm³</t>
  </si>
  <si>
    <t>6,35 g/cm³</t>
  </si>
  <si>
    <t>19,82 g/cm³</t>
  </si>
  <si>
    <t>0,53 g/cm³</t>
  </si>
  <si>
    <t>1,85 g/cm³</t>
  </si>
  <si>
    <t>0,97 g/cm³</t>
  </si>
  <si>
    <t>1,74 g/cm³</t>
  </si>
  <si>
    <t>2,34 g/cm³</t>
  </si>
  <si>
    <t>0,856 g/cm³</t>
  </si>
  <si>
    <t>4,5 g/cm³</t>
  </si>
  <si>
    <t>7,43 g/cm³</t>
  </si>
  <si>
    <t>6,5 g/cm³</t>
  </si>
  <si>
    <t>11,5 g/cm³</t>
  </si>
  <si>
    <t>8,65 g/cm³</t>
  </si>
  <si>
    <t>7 g/cm³</t>
  </si>
  <si>
    <t>21 g/cm³</t>
  </si>
  <si>
    <t>6,11 g/cm³</t>
  </si>
  <si>
    <t>8,9 g/cm³</t>
  </si>
  <si>
    <t>1,53 g/cm³</t>
  </si>
  <si>
    <t>2,63 g/cm³</t>
  </si>
  <si>
    <t>8,57 g/cm³</t>
  </si>
  <si>
    <t>12,38 g/cm³</t>
  </si>
  <si>
    <t>11,99 g/cm³</t>
  </si>
  <si>
    <t>1,9 g/cm³</t>
  </si>
  <si>
    <t>3,62 g/cm³</t>
  </si>
  <si>
    <t>6,17 g/cm³</t>
  </si>
  <si>
    <t>16,65 g/cm³</t>
  </si>
  <si>
    <t>19,3 g/cm³</t>
  </si>
  <si>
    <t>5,5 g/cm³</t>
  </si>
  <si>
    <t>1,83 g/cm³</t>
  </si>
  <si>
    <t>4,28 g/cm³</t>
  </si>
  <si>
    <t>2,26 g/cm³</t>
  </si>
  <si>
    <t>0,082 g/L</t>
  </si>
  <si>
    <t>0,166 g/L</t>
  </si>
  <si>
    <t>1,165 g/L</t>
  </si>
  <si>
    <t>1,58 g/L</t>
  </si>
  <si>
    <t>0,84 g/L</t>
  </si>
  <si>
    <t>1,33 g/L</t>
  </si>
  <si>
    <t>3 g/L</t>
  </si>
  <si>
    <t>1,78 g/L</t>
  </si>
  <si>
    <t>3,49 g/L</t>
  </si>
  <si>
    <t>5,5 g/L</t>
  </si>
  <si>
    <t>9,07 g/L</t>
  </si>
  <si>
    <t>25 pm</t>
  </si>
  <si>
    <t>28 pm</t>
  </si>
  <si>
    <t>145 pm</t>
  </si>
  <si>
    <t>105 pm</t>
  </si>
  <si>
    <t>85 pm</t>
  </si>
  <si>
    <t>70 pm</t>
  </si>
  <si>
    <t>65 pm</t>
  </si>
  <si>
    <t>60 pm</t>
  </si>
  <si>
    <t>50 pm</t>
  </si>
  <si>
    <t>58 pm</t>
  </si>
  <si>
    <t>180 pm</t>
  </si>
  <si>
    <t>150 pm</t>
  </si>
  <si>
    <t>125 pm</t>
  </si>
  <si>
    <t>110 pm</t>
  </si>
  <si>
    <t>100 pm</t>
  </si>
  <si>
    <t>106 pm</t>
  </si>
  <si>
    <t>220 pm</t>
  </si>
  <si>
    <t>160 pm</t>
  </si>
  <si>
    <t>140 pm</t>
  </si>
  <si>
    <t>135 pm</t>
  </si>
  <si>
    <t>130 pm</t>
  </si>
  <si>
    <t>115 pm</t>
  </si>
  <si>
    <t>116 pm</t>
  </si>
  <si>
    <t>235 pm</t>
  </si>
  <si>
    <t>200 pm</t>
  </si>
  <si>
    <t>155 pm</t>
  </si>
  <si>
    <t>265 pm</t>
  </si>
  <si>
    <t>215 pm</t>
  </si>
  <si>
    <t>195 pm</t>
  </si>
  <si>
    <t>185 pm</t>
  </si>
  <si>
    <t>188 pm</t>
  </si>
  <si>
    <t>175 pm</t>
  </si>
  <si>
    <t>190 pm</t>
  </si>
  <si>
    <t>121 pm</t>
  </si>
  <si>
    <t>270 pm</t>
  </si>
  <si>
    <t>139 pm</t>
  </si>
  <si>
    <t>151 pm</t>
  </si>
  <si>
    <t>184 pm</t>
  </si>
  <si>
    <t>174 pm</t>
  </si>
  <si>
    <t>170 pm</t>
  </si>
  <si>
    <t>186 pm</t>
  </si>
  <si>
    <t>203 pm</t>
  </si>
  <si>
    <t>13,28 g/cm³</t>
  </si>
  <si>
    <t>22,59 g/cm³</t>
  </si>
  <si>
    <r>
      <t>Legende:</t>
    </r>
    <r>
      <rPr>
        <sz val="15"/>
        <rFont val="Arial"/>
        <family val="2"/>
      </rPr>
      <t xml:space="preserve"> Wo stehen welche Informationen?</t>
    </r>
  </si>
  <si>
    <r>
      <t>III A (</t>
    </r>
    <r>
      <rPr>
        <b/>
        <sz val="12.5"/>
        <color theme="0"/>
        <rFont val="Arial"/>
        <family val="2"/>
      </rPr>
      <t>3.</t>
    </r>
    <r>
      <rPr>
        <sz val="12.5"/>
        <color theme="0"/>
        <rFont val="Arial"/>
        <family val="2"/>
      </rPr>
      <t>)</t>
    </r>
  </si>
  <si>
    <r>
      <t>Hauptgruppen:</t>
    </r>
    <r>
      <rPr>
        <sz val="14"/>
        <color rgb="FF3264FF"/>
        <rFont val="Arial"/>
        <family val="2"/>
      </rPr>
      <t xml:space="preserve"> I ...VIII A (</t>
    </r>
    <r>
      <rPr>
        <b/>
        <sz val="14"/>
        <color rgb="FF3264FF"/>
        <rFont val="Arial"/>
        <family val="2"/>
      </rPr>
      <t>1 - 8</t>
    </r>
    <r>
      <rPr>
        <sz val="14"/>
        <color rgb="FF3264FF"/>
        <rFont val="Arial"/>
        <family val="2"/>
      </rPr>
      <t>)</t>
    </r>
  </si>
  <si>
    <r>
      <t>IV A (</t>
    </r>
    <r>
      <rPr>
        <b/>
        <sz val="12.5"/>
        <color theme="0"/>
        <rFont val="Arial"/>
        <family val="2"/>
      </rPr>
      <t>4.</t>
    </r>
    <r>
      <rPr>
        <sz val="12.5"/>
        <color theme="0"/>
        <rFont val="Arial"/>
        <family val="2"/>
      </rPr>
      <t>)</t>
    </r>
  </si>
  <si>
    <r>
      <t>V A (</t>
    </r>
    <r>
      <rPr>
        <b/>
        <sz val="12.5"/>
        <color theme="0"/>
        <rFont val="Arial"/>
        <family val="2"/>
      </rPr>
      <t>5.</t>
    </r>
    <r>
      <rPr>
        <sz val="12.5"/>
        <color theme="0"/>
        <rFont val="Arial"/>
        <family val="2"/>
      </rPr>
      <t>)</t>
    </r>
  </si>
  <si>
    <r>
      <t>VI A (</t>
    </r>
    <r>
      <rPr>
        <b/>
        <sz val="12.5"/>
        <color theme="0"/>
        <rFont val="Arial"/>
        <family val="2"/>
      </rPr>
      <t>6.</t>
    </r>
    <r>
      <rPr>
        <sz val="12.5"/>
        <color theme="0"/>
        <rFont val="Arial"/>
        <family val="2"/>
      </rPr>
      <t>)</t>
    </r>
  </si>
  <si>
    <r>
      <t>VII A (</t>
    </r>
    <r>
      <rPr>
        <b/>
        <sz val="12.5"/>
        <color theme="0"/>
        <rFont val="Arial"/>
        <family val="2"/>
      </rPr>
      <t>7.</t>
    </r>
    <r>
      <rPr>
        <sz val="12.5"/>
        <color theme="0"/>
        <rFont val="Arial"/>
        <family val="2"/>
      </rPr>
      <t>)</t>
    </r>
  </si>
  <si>
    <r>
      <t>VIII A (</t>
    </r>
    <r>
      <rPr>
        <b/>
        <sz val="12.5"/>
        <color theme="0"/>
        <rFont val="Arial"/>
        <family val="2"/>
      </rPr>
      <t>8.</t>
    </r>
    <r>
      <rPr>
        <sz val="12.5"/>
        <color theme="0"/>
        <rFont val="Arial"/>
        <family val="2"/>
      </rPr>
      <t>)</t>
    </r>
  </si>
  <si>
    <r>
      <t>I A (</t>
    </r>
    <r>
      <rPr>
        <b/>
        <sz val="12.5"/>
        <color theme="0"/>
        <rFont val="Arial"/>
        <family val="2"/>
      </rPr>
      <t>1.</t>
    </r>
    <r>
      <rPr>
        <sz val="12.5"/>
        <color theme="0"/>
        <rFont val="Arial"/>
        <family val="2"/>
      </rPr>
      <t>)</t>
    </r>
  </si>
  <si>
    <r>
      <t>II A (</t>
    </r>
    <r>
      <rPr>
        <b/>
        <sz val="12.5"/>
        <color theme="0"/>
        <rFont val="Arial"/>
        <family val="2"/>
      </rPr>
      <t>2.</t>
    </r>
    <r>
      <rPr>
        <sz val="12.5"/>
        <color theme="0"/>
        <rFont val="Arial"/>
        <family val="2"/>
      </rPr>
      <t>)</t>
    </r>
  </si>
  <si>
    <t xml:space="preserve">   bs-wiki.de</t>
  </si>
  <si>
    <t>57 - 71</t>
  </si>
  <si>
    <t>Lanthanoide</t>
  </si>
  <si>
    <t>Actinoide</t>
  </si>
  <si>
    <t xml:space="preserve">    Periodensystem der Elemente (PSE)</t>
  </si>
  <si>
    <t>89 - 103</t>
  </si>
  <si>
    <r>
      <t>G</t>
    </r>
    <r>
      <rPr>
        <sz val="10"/>
        <rFont val="Arial"/>
        <family val="2"/>
      </rPr>
      <t>allium</t>
    </r>
  </si>
  <si>
    <r>
      <t xml:space="preserve">Elementsymbol                       fest </t>
    </r>
    <r>
      <rPr>
        <sz val="11"/>
        <color indexed="52"/>
        <rFont val="Arial"/>
        <family val="2"/>
      </rPr>
      <t>flüssig</t>
    </r>
    <r>
      <rPr>
        <sz val="11"/>
        <rFont val="Arial"/>
        <family val="2"/>
      </rPr>
      <t xml:space="preserve"> </t>
    </r>
    <r>
      <rPr>
        <sz val="11"/>
        <color indexed="48"/>
        <rFont val="Arial"/>
        <family val="2"/>
      </rPr>
      <t>gasförmig</t>
    </r>
  </si>
  <si>
    <r>
      <t xml:space="preserve"> in pm (10</t>
    </r>
    <r>
      <rPr>
        <vertAlign val="superscript"/>
        <sz val="8.5"/>
        <rFont val="Arial"/>
        <family val="2"/>
      </rPr>
      <t>-12</t>
    </r>
    <r>
      <rPr>
        <sz val="8.5"/>
        <rFont val="Arial"/>
        <family val="2"/>
      </rPr>
      <t>m)</t>
    </r>
  </si>
  <si>
    <r>
      <t xml:space="preserve">Dichte bei </t>
    </r>
    <r>
      <rPr>
        <i/>
        <sz val="9"/>
        <rFont val="Arial"/>
        <family val="2"/>
      </rPr>
      <t>T</t>
    </r>
    <r>
      <rPr>
        <sz val="9"/>
        <rFont val="Arial"/>
        <family val="2"/>
      </rPr>
      <t xml:space="preserve">=20°C, </t>
    </r>
    <r>
      <rPr>
        <i/>
        <sz val="9"/>
        <rFont val="Arial"/>
        <family val="2"/>
      </rPr>
      <t>p</t>
    </r>
    <r>
      <rPr>
        <sz val="9"/>
        <rFont val="Arial"/>
        <family val="2"/>
      </rPr>
      <t>=1.013,25 hPa</t>
    </r>
  </si>
  <si>
    <r>
      <t>O</t>
    </r>
    <r>
      <rPr>
        <sz val="10"/>
        <rFont val="Arial"/>
        <family val="2"/>
      </rPr>
      <t>smium</t>
    </r>
  </si>
  <si>
    <r>
      <t>Q</t>
    </r>
    <r>
      <rPr>
        <sz val="10"/>
        <rFont val="Arial"/>
        <family val="2"/>
      </rPr>
      <t>uecksilber</t>
    </r>
  </si>
  <si>
    <r>
      <t>F</t>
    </r>
    <r>
      <rPr>
        <sz val="10"/>
        <rFont val="Arial"/>
        <family val="2"/>
      </rPr>
      <t>ermium</t>
    </r>
  </si>
  <si>
    <r>
      <t>V</t>
    </r>
    <r>
      <rPr>
        <sz val="10"/>
        <rFont val="Arial"/>
        <family val="2"/>
      </rPr>
      <t>anadium</t>
    </r>
  </si>
  <si>
    <r>
      <t>X</t>
    </r>
    <r>
      <rPr>
        <sz val="10"/>
        <rFont val="Arial"/>
        <family val="2"/>
      </rPr>
      <t>enon</t>
    </r>
  </si>
</sst>
</file>

<file path=xl/styles.xml><?xml version="1.0" encoding="utf-8"?>
<styleSheet xmlns="http://schemas.openxmlformats.org/spreadsheetml/2006/main">
  <numFmts count="4">
    <numFmt numFmtId="164" formatCode="#,##0.000"/>
    <numFmt numFmtId="165" formatCode="#,##0\ \°\C"/>
    <numFmt numFmtId="166" formatCode="0.0"/>
    <numFmt numFmtId="167" formatCode="#,##0.0"/>
  </numFmts>
  <fonts count="69">
    <font>
      <sz val="11"/>
      <name val="Arial"/>
    </font>
    <font>
      <sz val="11"/>
      <name val="Arial"/>
      <family val="2"/>
    </font>
    <font>
      <sz val="8"/>
      <name val="Arial"/>
      <family val="2"/>
    </font>
    <font>
      <sz val="20"/>
      <name val="Arial"/>
      <family val="2"/>
    </font>
    <font>
      <sz val="12"/>
      <name val="Arial"/>
      <family val="2"/>
    </font>
    <font>
      <i/>
      <sz val="8"/>
      <name val="Arial"/>
      <family val="2"/>
    </font>
    <font>
      <b/>
      <sz val="12.5"/>
      <name val="Arial"/>
      <family val="2"/>
    </font>
    <font>
      <sz val="9"/>
      <name val="Arial"/>
      <family val="2"/>
    </font>
    <font>
      <sz val="11"/>
      <name val="Arial"/>
      <family val="2"/>
    </font>
    <font>
      <i/>
      <sz val="10"/>
      <name val="Arial"/>
      <family val="2"/>
    </font>
    <font>
      <sz val="8.5"/>
      <name val="Arial"/>
      <family val="2"/>
    </font>
    <font>
      <b/>
      <sz val="10"/>
      <name val="Arial"/>
      <family val="2"/>
    </font>
    <font>
      <sz val="10"/>
      <name val="Arial"/>
      <family val="2"/>
    </font>
    <font>
      <b/>
      <u/>
      <sz val="24"/>
      <name val="Arial"/>
      <family val="2"/>
    </font>
    <font>
      <sz val="11"/>
      <color indexed="48"/>
      <name val="Arial"/>
      <family val="2"/>
    </font>
    <font>
      <b/>
      <sz val="12.5"/>
      <color indexed="48"/>
      <name val="Arial"/>
      <family val="2"/>
    </font>
    <font>
      <b/>
      <sz val="24"/>
      <color indexed="22"/>
      <name val="Arial"/>
      <family val="2"/>
    </font>
    <font>
      <sz val="11"/>
      <color indexed="22"/>
      <name val="Arial"/>
      <family val="2"/>
    </font>
    <font>
      <sz val="9"/>
      <color indexed="22"/>
      <name val="Arial"/>
      <family val="2"/>
    </font>
    <font>
      <sz val="8.5"/>
      <color indexed="22"/>
      <name val="Arial"/>
      <family val="2"/>
    </font>
    <font>
      <sz val="11"/>
      <color indexed="10"/>
      <name val="Arial"/>
      <family val="2"/>
    </font>
    <font>
      <b/>
      <sz val="11"/>
      <name val="Arial"/>
      <family val="2"/>
    </font>
    <font>
      <b/>
      <sz val="11"/>
      <color indexed="10"/>
      <name val="Arial"/>
      <family val="2"/>
    </font>
    <font>
      <b/>
      <u/>
      <sz val="12.5"/>
      <name val="Arial"/>
      <family val="2"/>
    </font>
    <font>
      <b/>
      <sz val="12.5"/>
      <color indexed="25"/>
      <name val="Arial"/>
      <family val="2"/>
    </font>
    <font>
      <sz val="11"/>
      <color indexed="61"/>
      <name val="Arial"/>
      <family val="2"/>
    </font>
    <font>
      <sz val="12.5"/>
      <color indexed="48"/>
      <name val="Arial"/>
      <family val="2"/>
    </font>
    <font>
      <b/>
      <sz val="36"/>
      <name val="Arial"/>
      <family val="2"/>
    </font>
    <font>
      <sz val="11"/>
      <color indexed="8"/>
      <name val="Arial"/>
      <family val="2"/>
    </font>
    <font>
      <sz val="12"/>
      <name val="Times New Roman"/>
      <family val="1"/>
    </font>
    <font>
      <sz val="8"/>
      <color indexed="8"/>
      <name val="Verdana"/>
      <family val="2"/>
    </font>
    <font>
      <sz val="11"/>
      <name val="Times New Roman"/>
      <family val="1"/>
    </font>
    <font>
      <sz val="11"/>
      <color indexed="8"/>
      <name val="Verdana"/>
      <family val="2"/>
    </font>
    <font>
      <sz val="11"/>
      <name val="Arial"/>
      <family val="2"/>
    </font>
    <font>
      <b/>
      <u/>
      <sz val="24"/>
      <color indexed="48"/>
      <name val="Arial"/>
      <family val="2"/>
    </font>
    <font>
      <b/>
      <sz val="24"/>
      <color indexed="48"/>
      <name val="Arial"/>
      <family val="2"/>
    </font>
    <font>
      <sz val="11"/>
      <color indexed="52"/>
      <name val="Arial"/>
      <family val="2"/>
    </font>
    <font>
      <sz val="10"/>
      <color theme="0" tint="-0.499984740745262"/>
      <name val="Arial"/>
      <family val="2"/>
    </font>
    <font>
      <i/>
      <sz val="11"/>
      <name val="Arial"/>
      <family val="2"/>
    </font>
    <font>
      <i/>
      <sz val="11"/>
      <color indexed="22"/>
      <name val="Arial"/>
      <family val="2"/>
    </font>
    <font>
      <b/>
      <sz val="8.5"/>
      <name val="Arial"/>
      <family val="2"/>
    </font>
    <font>
      <b/>
      <sz val="13"/>
      <name val="Arial"/>
      <family val="2"/>
    </font>
    <font>
      <b/>
      <sz val="14"/>
      <color indexed="48"/>
      <name val="Arial"/>
      <family val="2"/>
    </font>
    <font>
      <sz val="7"/>
      <name val="Arial"/>
      <family val="2"/>
    </font>
    <font>
      <i/>
      <sz val="9"/>
      <name val="Arial"/>
      <family val="2"/>
    </font>
    <font>
      <sz val="11"/>
      <color rgb="FFFF0000"/>
      <name val="Arial"/>
      <family val="2"/>
    </font>
    <font>
      <b/>
      <sz val="15"/>
      <name val="Arial"/>
      <family val="2"/>
    </font>
    <font>
      <sz val="15"/>
      <name val="Arial"/>
      <family val="2"/>
    </font>
    <font>
      <sz val="10"/>
      <color indexed="48"/>
      <name val="Arial"/>
      <family val="2"/>
    </font>
    <font>
      <sz val="12.5"/>
      <color theme="0"/>
      <name val="Arial"/>
      <family val="2"/>
    </font>
    <font>
      <b/>
      <sz val="12.5"/>
      <color theme="0"/>
      <name val="Arial"/>
      <family val="2"/>
    </font>
    <font>
      <b/>
      <sz val="14"/>
      <color rgb="FF3264FF"/>
      <name val="Arial"/>
      <family val="2"/>
    </font>
    <font>
      <sz val="14"/>
      <color rgb="FF3264FF"/>
      <name val="Arial"/>
      <family val="2"/>
    </font>
    <font>
      <b/>
      <sz val="20"/>
      <color rgb="FF0A9632"/>
      <name val="Arial"/>
      <family val="2"/>
    </font>
    <font>
      <b/>
      <sz val="20"/>
      <color rgb="FF089C2F"/>
      <name val="Arial"/>
      <family val="2"/>
    </font>
    <font>
      <b/>
      <sz val="14"/>
      <color rgb="FF0A9632"/>
      <name val="Arial"/>
      <family val="2"/>
    </font>
    <font>
      <sz val="12.5"/>
      <color rgb="FF3366C0"/>
      <name val="Arial"/>
      <family val="2"/>
    </font>
    <font>
      <b/>
      <u/>
      <sz val="24"/>
      <color theme="1"/>
      <name val="Arial"/>
      <family val="2"/>
    </font>
    <font>
      <b/>
      <sz val="24"/>
      <color theme="1"/>
      <name val="Arial"/>
      <family val="2"/>
    </font>
    <font>
      <b/>
      <u/>
      <sz val="24"/>
      <color rgb="FFFFC000"/>
      <name val="Arial"/>
      <family val="2"/>
    </font>
    <font>
      <sz val="11"/>
      <color theme="0" tint="-0.499984740745262"/>
      <name val="Arial"/>
      <family val="2"/>
    </font>
    <font>
      <b/>
      <sz val="15"/>
      <color theme="1"/>
      <name val="Arial"/>
      <family val="2"/>
    </font>
    <font>
      <b/>
      <sz val="23"/>
      <name val="Arial"/>
      <family val="2"/>
    </font>
    <font>
      <b/>
      <sz val="18"/>
      <color rgb="FF0A9632"/>
      <name val="Arial"/>
      <family val="2"/>
    </font>
    <font>
      <sz val="20"/>
      <color rgb="FF089C2F"/>
      <name val="Arial"/>
      <family val="2"/>
    </font>
    <font>
      <b/>
      <sz val="23"/>
      <color rgb="FFFFC000"/>
      <name val="Arial"/>
      <family val="2"/>
    </font>
    <font>
      <i/>
      <sz val="11"/>
      <color theme="1"/>
      <name val="Arial"/>
      <family val="2"/>
    </font>
    <font>
      <vertAlign val="superscript"/>
      <sz val="8.5"/>
      <name val="Arial"/>
      <family val="2"/>
    </font>
    <font>
      <sz val="10"/>
      <color rgb="FFFF0000"/>
      <name val="Arial"/>
      <family val="2"/>
    </font>
  </fonts>
  <fills count="13">
    <fill>
      <patternFill patternType="none"/>
    </fill>
    <fill>
      <patternFill patternType="gray125"/>
    </fill>
    <fill>
      <patternFill patternType="lightGray">
        <bgColor indexed="9"/>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lightGray">
        <fgColor indexed="26"/>
        <bgColor theme="0"/>
      </patternFill>
    </fill>
    <fill>
      <patternFill patternType="solid">
        <fgColor rgb="FF3264FF"/>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dashed">
        <color theme="0" tint="-0.34998626667073579"/>
      </right>
      <top style="thin">
        <color indexed="64"/>
      </top>
      <bottom/>
      <diagonal/>
    </border>
    <border>
      <left/>
      <right style="dashed">
        <color theme="0" tint="-0.34998626667073579"/>
      </right>
      <top/>
      <bottom style="thin">
        <color indexed="64"/>
      </bottom>
      <diagonal/>
    </border>
    <border>
      <left style="dashed">
        <color theme="0" tint="-0.34998626667073579"/>
      </left>
      <right/>
      <top style="thin">
        <color indexed="64"/>
      </top>
      <bottom/>
      <diagonal/>
    </border>
    <border>
      <left style="dashed">
        <color theme="0" tint="-0.34998626667073579"/>
      </left>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 fontId="66" fillId="0" borderId="1" applyNumberFormat="0" applyFill="0" applyProtection="0">
      <alignment horizontal="right"/>
    </xf>
    <xf numFmtId="0" fontId="10" fillId="0" borderId="2">
      <alignment horizontal="left" vertical="center" wrapText="1"/>
    </xf>
    <xf numFmtId="0" fontId="13" fillId="2" borderId="3" applyNumberFormat="0" applyAlignment="0">
      <alignment horizontal="center"/>
    </xf>
    <xf numFmtId="0" fontId="10" fillId="0" borderId="4">
      <alignment horizontal="left" vertical="top" wrapText="1"/>
    </xf>
    <xf numFmtId="0" fontId="68" fillId="0" borderId="4"/>
    <xf numFmtId="0" fontId="1" fillId="0" borderId="0" applyFont="0" applyAlignment="0">
      <alignment horizontal="right"/>
    </xf>
    <xf numFmtId="0" fontId="8" fillId="0" borderId="4" applyBorder="0">
      <alignment horizontal="center"/>
    </xf>
    <xf numFmtId="0" fontId="61" fillId="0" borderId="5" applyFill="0">
      <alignment horizontal="center"/>
    </xf>
    <xf numFmtId="0" fontId="63" fillId="0" borderId="0">
      <alignment horizontal="center" vertical="center"/>
      <protection locked="0"/>
    </xf>
    <xf numFmtId="0" fontId="7" fillId="0" borderId="6">
      <alignment horizontal="right"/>
    </xf>
    <xf numFmtId="0" fontId="7" fillId="0" borderId="3">
      <alignment horizontal="right"/>
    </xf>
    <xf numFmtId="0" fontId="62" fillId="0" borderId="3" applyFill="0">
      <alignment horizontal="center" vertical="top" readingOrder="1"/>
      <protection locked="0"/>
    </xf>
  </cellStyleXfs>
  <cellXfs count="284">
    <xf numFmtId="0" fontId="0" fillId="0" borderId="0" xfId="0"/>
    <xf numFmtId="0" fontId="2" fillId="0" borderId="0" xfId="0" applyFont="1" applyBorder="1"/>
    <xf numFmtId="0" fontId="3" fillId="0" borderId="0" xfId="0" applyFont="1" applyBorder="1"/>
    <xf numFmtId="0" fontId="62" fillId="0" borderId="0" xfId="12" applyBorder="1">
      <alignment horizontal="center" vertical="top"/>
      <protection locked="0"/>
    </xf>
    <xf numFmtId="0" fontId="12" fillId="0" borderId="0" xfId="0" applyFont="1" applyAlignment="1">
      <alignment horizontal="left"/>
    </xf>
    <xf numFmtId="0" fontId="12" fillId="0" borderId="0" xfId="0" applyFont="1"/>
    <xf numFmtId="0" fontId="12" fillId="0" borderId="0" xfId="0" applyFont="1" applyAlignment="1">
      <alignment horizontal="right"/>
    </xf>
    <xf numFmtId="0" fontId="20" fillId="0" borderId="0" xfId="0" applyFont="1"/>
    <xf numFmtId="0" fontId="21" fillId="0" borderId="0" xfId="0" applyFont="1"/>
    <xf numFmtId="0" fontId="22" fillId="0" borderId="0" xfId="0" applyFont="1"/>
    <xf numFmtId="0" fontId="61" fillId="0" borderId="0" xfId="8" applyBorder="1" applyAlignment="1">
      <alignment horizontal="left" vertical="center"/>
    </xf>
    <xf numFmtId="0" fontId="15" fillId="0" borderId="0" xfId="8" applyFont="1" applyBorder="1" applyAlignment="1">
      <alignment horizontal="left" vertical="center"/>
    </xf>
    <xf numFmtId="0" fontId="2" fillId="0" borderId="0" xfId="0" applyFont="1" applyBorder="1" applyAlignment="1">
      <alignment vertical="center"/>
    </xf>
    <xf numFmtId="0" fontId="62" fillId="0" borderId="3" xfId="12" applyBorder="1" applyAlignment="1">
      <alignment horizontal="center" vertical="center"/>
      <protection locked="0"/>
    </xf>
    <xf numFmtId="0" fontId="10" fillId="0" borderId="0" xfId="4" applyBorder="1" applyAlignment="1">
      <alignment horizontal="left" vertical="center" wrapText="1"/>
    </xf>
    <xf numFmtId="0" fontId="62" fillId="0" borderId="0" xfId="12" applyBorder="1" applyAlignment="1">
      <alignment horizontal="center" vertical="center"/>
      <protection locked="0"/>
    </xf>
    <xf numFmtId="0" fontId="28" fillId="0" borderId="0" xfId="0" applyFont="1" applyFill="1" applyBorder="1"/>
    <xf numFmtId="0" fontId="29" fillId="0" borderId="0" xfId="0" applyFont="1"/>
    <xf numFmtId="0" fontId="0" fillId="4" borderId="0" xfId="0" applyFill="1"/>
    <xf numFmtId="0" fontId="30" fillId="4" borderId="0" xfId="0" applyFont="1" applyFill="1" applyBorder="1" applyAlignment="1">
      <alignment wrapText="1"/>
    </xf>
    <xf numFmtId="0" fontId="1" fillId="0" borderId="0" xfId="0" applyFont="1" applyAlignment="1">
      <alignment horizontal="center"/>
    </xf>
    <xf numFmtId="0" fontId="31" fillId="0" borderId="0" xfId="0" applyFont="1" applyAlignment="1">
      <alignment horizontal="center"/>
    </xf>
    <xf numFmtId="0" fontId="32" fillId="4" borderId="0" xfId="0" applyFont="1" applyFill="1" applyBorder="1" applyAlignment="1">
      <alignment horizontal="center" wrapText="1"/>
    </xf>
    <xf numFmtId="0" fontId="33" fillId="0" borderId="0" xfId="0" applyFont="1" applyAlignment="1">
      <alignment horizontal="center"/>
    </xf>
    <xf numFmtId="0" fontId="33" fillId="4" borderId="0" xfId="0" applyFont="1" applyFill="1" applyAlignment="1">
      <alignment horizontal="center"/>
    </xf>
    <xf numFmtId="11" fontId="0" fillId="0" borderId="8" xfId="0" applyNumberFormat="1" applyBorder="1" applyAlignment="1">
      <alignment horizontal="center"/>
    </xf>
    <xf numFmtId="11" fontId="12" fillId="0" borderId="8" xfId="0" applyNumberFormat="1" applyFont="1" applyBorder="1" applyAlignment="1">
      <alignment horizontal="center"/>
    </xf>
    <xf numFmtId="0" fontId="0" fillId="0" borderId="0" xfId="0" applyAlignment="1">
      <alignment wrapText="1"/>
    </xf>
    <xf numFmtId="0" fontId="0" fillId="0" borderId="0" xfId="0" quotePrefix="1" applyAlignment="1">
      <alignment wrapText="1"/>
    </xf>
    <xf numFmtId="0" fontId="28" fillId="0" borderId="0" xfId="0" quotePrefix="1" applyFont="1" applyFill="1" applyBorder="1"/>
    <xf numFmtId="4" fontId="0" fillId="5" borderId="8" xfId="0" applyNumberFormat="1" applyFill="1" applyBorder="1" applyAlignment="1">
      <alignment wrapText="1"/>
    </xf>
    <xf numFmtId="0" fontId="0" fillId="4" borderId="0" xfId="0" applyFill="1" applyAlignment="1">
      <alignment wrapText="1"/>
    </xf>
    <xf numFmtId="0" fontId="21" fillId="4" borderId="0" xfId="0" applyFont="1" applyFill="1" applyAlignment="1">
      <alignment wrapText="1"/>
    </xf>
    <xf numFmtId="49" fontId="21" fillId="0" borderId="0" xfId="0" applyNumberFormat="1" applyFont="1"/>
    <xf numFmtId="49" fontId="28" fillId="0" borderId="0" xfId="0" quotePrefix="1" applyNumberFormat="1" applyFont="1" applyFill="1" applyBorder="1"/>
    <xf numFmtId="49" fontId="28" fillId="0" borderId="0" xfId="0" applyNumberFormat="1" applyFont="1" applyFill="1" applyBorder="1"/>
    <xf numFmtId="49" fontId="0" fillId="0" borderId="0" xfId="0" applyNumberFormat="1"/>
    <xf numFmtId="0" fontId="62" fillId="3" borderId="3" xfId="12" applyFill="1" applyBorder="1" applyAlignment="1">
      <alignment horizontal="center" vertical="center"/>
      <protection locked="0"/>
    </xf>
    <xf numFmtId="0" fontId="0" fillId="0" borderId="0" xfId="0" applyNumberFormat="1" applyBorder="1" applyAlignment="1">
      <alignment horizontal="center" vertical="center"/>
    </xf>
    <xf numFmtId="0" fontId="8" fillId="0" borderId="0" xfId="0" applyFont="1" applyBorder="1" applyAlignment="1">
      <alignment horizontal="left" vertical="center"/>
    </xf>
    <xf numFmtId="49" fontId="0" fillId="0" borderId="0" xfId="0" applyNumberFormat="1" applyBorder="1" applyAlignment="1">
      <alignment horizontal="left" vertical="center" wrapText="1"/>
    </xf>
    <xf numFmtId="0" fontId="34" fillId="4" borderId="3" xfId="3" applyFont="1" applyFill="1" applyBorder="1" applyAlignment="1">
      <alignment horizontal="center" vertical="center"/>
    </xf>
    <xf numFmtId="0" fontId="1" fillId="0" borderId="0" xfId="0" applyFont="1"/>
    <xf numFmtId="0" fontId="12" fillId="0" borderId="0" xfId="0" applyFont="1" applyBorder="1"/>
    <xf numFmtId="0" fontId="12" fillId="0" borderId="7"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left"/>
    </xf>
    <xf numFmtId="0" fontId="37" fillId="0" borderId="0" xfId="0" applyFont="1" applyBorder="1"/>
    <xf numFmtId="0" fontId="1" fillId="0" borderId="0" xfId="0" applyFont="1" applyBorder="1" applyAlignment="1">
      <alignment horizontal="left" vertical="top"/>
    </xf>
    <xf numFmtId="0" fontId="8" fillId="0" borderId="0" xfId="6" applyFont="1" applyBorder="1" applyAlignment="1">
      <alignment horizontal="right" vertical="center" wrapText="1"/>
    </xf>
    <xf numFmtId="49" fontId="1" fillId="0" borderId="0" xfId="0" applyNumberFormat="1" applyFont="1"/>
    <xf numFmtId="0" fontId="6" fillId="8" borderId="0" xfId="8" applyFont="1" applyFill="1" applyBorder="1" applyAlignment="1">
      <alignment horizontal="center" vertical="center" wrapText="1"/>
    </xf>
    <xf numFmtId="0" fontId="0" fillId="8" borderId="0" xfId="0" applyFill="1" applyBorder="1" applyAlignment="1">
      <alignment horizontal="center" vertical="center" wrapText="1"/>
    </xf>
    <xf numFmtId="0" fontId="0" fillId="8" borderId="7" xfId="0" applyFill="1" applyBorder="1" applyAlignment="1">
      <alignment horizontal="center" vertical="center" wrapText="1"/>
    </xf>
    <xf numFmtId="165" fontId="0" fillId="0" borderId="0" xfId="0" applyNumberFormat="1"/>
    <xf numFmtId="165" fontId="1" fillId="0" borderId="0" xfId="0" applyNumberFormat="1" applyFont="1"/>
    <xf numFmtId="1" fontId="0" fillId="0" borderId="0" xfId="0" applyNumberFormat="1" applyAlignment="1">
      <alignment wrapText="1"/>
    </xf>
    <xf numFmtId="1" fontId="1" fillId="0" borderId="0" xfId="0" applyNumberFormat="1" applyFont="1" applyAlignment="1">
      <alignment wrapText="1"/>
    </xf>
    <xf numFmtId="0" fontId="2" fillId="0" borderId="4" xfId="4" applyFont="1" applyBorder="1" applyAlignment="1">
      <alignment horizontal="center" vertical="center" wrapText="1"/>
    </xf>
    <xf numFmtId="0" fontId="68" fillId="0" borderId="0" xfId="5" applyBorder="1" applyAlignment="1">
      <alignment vertical="center"/>
    </xf>
    <xf numFmtId="0" fontId="8" fillId="0" borderId="0" xfId="7" applyBorder="1" applyAlignment="1">
      <alignment horizontal="center" vertical="center"/>
    </xf>
    <xf numFmtId="0" fontId="2" fillId="0" borderId="0" xfId="6" applyFont="1" applyBorder="1" applyAlignment="1">
      <alignment vertical="center"/>
    </xf>
    <xf numFmtId="0" fontId="0" fillId="0" borderId="0" xfId="0" applyBorder="1" applyAlignment="1">
      <alignment horizontal="left" vertical="center"/>
    </xf>
    <xf numFmtId="0" fontId="8" fillId="0" borderId="0" xfId="7" applyFill="1" applyBorder="1" applyAlignment="1">
      <alignment horizontal="center" vertical="center"/>
    </xf>
    <xf numFmtId="4" fontId="66" fillId="0" borderId="1" xfId="1" applyNumberFormat="1" applyBorder="1" applyAlignment="1">
      <alignment horizontal="right" vertical="center"/>
    </xf>
    <xf numFmtId="2" fontId="66" fillId="0" borderId="1" xfId="1" applyNumberFormat="1" applyBorder="1" applyAlignment="1">
      <alignment horizontal="right" vertical="center"/>
    </xf>
    <xf numFmtId="2" fontId="66" fillId="3" borderId="1" xfId="1" applyNumberFormat="1" applyFill="1" applyBorder="1" applyAlignment="1">
      <alignment horizontal="right" vertical="center"/>
    </xf>
    <xf numFmtId="0" fontId="66" fillId="0" borderId="1" xfId="1" applyNumberFormat="1" applyBorder="1" applyAlignment="1">
      <alignment horizontal="right" vertical="center"/>
    </xf>
    <xf numFmtId="4" fontId="66" fillId="0" borderId="0" xfId="1" applyBorder="1" applyAlignment="1">
      <alignment horizontal="right" vertical="center"/>
    </xf>
    <xf numFmtId="3" fontId="2" fillId="0" borderId="0" xfId="0" applyNumberFormat="1" applyFont="1" applyBorder="1" applyAlignment="1">
      <alignment vertical="center"/>
    </xf>
    <xf numFmtId="1" fontId="66" fillId="0" borderId="1" xfId="1" applyNumberFormat="1" applyBorder="1" applyAlignment="1">
      <alignment horizontal="right" vertical="center"/>
    </xf>
    <xf numFmtId="0" fontId="61" fillId="0" borderId="0" xfId="8" applyBorder="1" applyAlignment="1">
      <alignment horizontal="center" vertical="center"/>
    </xf>
    <xf numFmtId="0" fontId="2" fillId="0" borderId="0" xfId="0" applyFont="1" applyBorder="1" applyAlignment="1">
      <alignment horizontal="center" vertical="center"/>
    </xf>
    <xf numFmtId="0" fontId="10" fillId="3" borderId="2" xfId="2" applyFill="1" applyAlignment="1">
      <alignment horizontal="center" vertical="center" wrapText="1"/>
    </xf>
    <xf numFmtId="0" fontId="10" fillId="0" borderId="2" xfId="2" applyBorder="1" applyAlignment="1">
      <alignment horizontal="center" vertical="center" wrapText="1"/>
    </xf>
    <xf numFmtId="0" fontId="19" fillId="0" borderId="2" xfId="2" applyFont="1" applyBorder="1" applyAlignment="1">
      <alignment horizontal="center" vertical="center" wrapText="1"/>
    </xf>
    <xf numFmtId="0" fontId="2" fillId="0" borderId="0" xfId="0" applyFont="1" applyBorder="1" applyAlignment="1">
      <alignment horizontal="center"/>
    </xf>
    <xf numFmtId="0" fontId="10" fillId="0" borderId="2" xfId="2" applyAlignment="1">
      <alignment horizontal="center" vertical="center" wrapText="1"/>
    </xf>
    <xf numFmtId="0" fontId="10" fillId="0" borderId="0" xfId="4" applyBorder="1" applyAlignment="1">
      <alignment horizontal="center" vertical="top" wrapText="1"/>
    </xf>
    <xf numFmtId="0" fontId="68" fillId="0" borderId="0" xfId="5" applyBorder="1" applyAlignment="1">
      <alignment horizontal="center" vertical="center"/>
    </xf>
    <xf numFmtId="0" fontId="15" fillId="0" borderId="0" xfId="8" applyFont="1" applyBorder="1" applyAlignment="1">
      <alignment horizontal="center" vertical="center"/>
    </xf>
    <xf numFmtId="0" fontId="10" fillId="0" borderId="0" xfId="4" applyBorder="1" applyAlignment="1">
      <alignment horizontal="center" vertical="center" wrapText="1"/>
    </xf>
    <xf numFmtId="4" fontId="66" fillId="0" borderId="0" xfId="1" applyFill="1" applyBorder="1" applyAlignment="1">
      <alignment horizontal="center" vertical="center"/>
    </xf>
    <xf numFmtId="0" fontId="13" fillId="0" borderId="0" xfId="3" applyFont="1"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8" fillId="0" borderId="0" xfId="0" applyFont="1" applyBorder="1" applyAlignment="1">
      <alignment horizontal="center" vertical="center"/>
    </xf>
    <xf numFmtId="0" fontId="0" fillId="0" borderId="0" xfId="0" applyBorder="1" applyAlignment="1">
      <alignment horizontal="center"/>
    </xf>
    <xf numFmtId="1" fontId="10" fillId="4" borderId="2" xfId="2" applyNumberFormat="1" applyFill="1" applyBorder="1" applyAlignment="1">
      <alignment horizontal="center" vertical="center" wrapText="1"/>
    </xf>
    <xf numFmtId="0" fontId="4" fillId="0" borderId="0" xfId="0" applyFont="1" applyBorder="1" applyAlignment="1">
      <alignment horizontal="center" vertical="center"/>
    </xf>
    <xf numFmtId="0" fontId="40" fillId="0" borderId="0" xfId="8" applyFont="1" applyBorder="1" applyAlignment="1">
      <alignment horizontal="distributed" vertical="distributed" wrapText="1" justifyLastLine="1"/>
    </xf>
    <xf numFmtId="0" fontId="8" fillId="0" borderId="0" xfId="6" applyFont="1" applyBorder="1" applyAlignment="1">
      <alignment horizontal="right" vertical="center" wrapText="1"/>
    </xf>
    <xf numFmtId="0" fontId="0" fillId="0" borderId="0" xfId="0" applyBorder="1" applyAlignment="1"/>
    <xf numFmtId="0" fontId="41" fillId="0" borderId="5" xfId="8" applyFont="1" applyAlignment="1">
      <alignment horizontal="center" vertical="center"/>
    </xf>
    <xf numFmtId="0" fontId="43" fillId="0" borderId="0" xfId="0" applyNumberFormat="1" applyFont="1" applyBorder="1" applyAlignment="1">
      <alignment horizontal="right" vertical="center"/>
    </xf>
    <xf numFmtId="0" fontId="7" fillId="0" borderId="4" xfId="4" applyFont="1" applyBorder="1" applyAlignment="1">
      <alignment horizontal="center" vertical="center" wrapText="1"/>
    </xf>
    <xf numFmtId="0" fontId="7" fillId="3" borderId="4" xfId="4" applyFont="1" applyFill="1" applyBorder="1" applyAlignment="1">
      <alignment horizontal="center" vertical="center" wrapText="1"/>
    </xf>
    <xf numFmtId="0" fontId="7" fillId="4" borderId="4" xfId="4" applyFont="1" applyFill="1" applyBorder="1" applyAlignment="1">
      <alignment horizontal="center" vertical="center" wrapText="1"/>
    </xf>
    <xf numFmtId="0" fontId="10" fillId="0" borderId="4" xfId="2" applyBorder="1" applyAlignment="1">
      <alignment horizontal="center" vertical="center" wrapText="1"/>
    </xf>
    <xf numFmtId="0" fontId="19" fillId="0" borderId="4" xfId="2" applyFont="1" applyBorder="1" applyAlignment="1">
      <alignment horizontal="center" vertical="center" wrapText="1"/>
    </xf>
    <xf numFmtId="0" fontId="12" fillId="0" borderId="10" xfId="0" applyFont="1" applyBorder="1" applyAlignment="1">
      <alignment horizontal="center"/>
    </xf>
    <xf numFmtId="0" fontId="12" fillId="0" borderId="10" xfId="0" applyFont="1" applyBorder="1"/>
    <xf numFmtId="0" fontId="7" fillId="10" borderId="4" xfId="4" applyFont="1" applyFill="1" applyBorder="1" applyAlignment="1">
      <alignment horizontal="center" vertical="center" wrapText="1"/>
    </xf>
    <xf numFmtId="0" fontId="8" fillId="10" borderId="4" xfId="7" applyFill="1" applyBorder="1" applyAlignment="1">
      <alignment horizontal="center" vertical="center"/>
    </xf>
    <xf numFmtId="0" fontId="16" fillId="9" borderId="4" xfId="12" applyFont="1" applyFill="1" applyBorder="1" applyAlignment="1">
      <alignment horizontal="center" vertical="center"/>
      <protection locked="0"/>
    </xf>
    <xf numFmtId="0" fontId="17" fillId="9" borderId="4" xfId="7" applyFont="1" applyFill="1" applyBorder="1" applyAlignment="1">
      <alignment horizontal="center" vertical="center"/>
    </xf>
    <xf numFmtId="0" fontId="61" fillId="9" borderId="0" xfId="8" applyFill="1" applyBorder="1" applyAlignment="1">
      <alignment horizontal="center" vertical="center"/>
    </xf>
    <xf numFmtId="0" fontId="26" fillId="9" borderId="0" xfId="8" applyFont="1" applyFill="1" applyBorder="1" applyAlignment="1">
      <alignment horizontal="center" vertical="center"/>
    </xf>
    <xf numFmtId="0" fontId="48" fillId="9" borderId="0" xfId="8" applyFont="1" applyFill="1" applyBorder="1" applyAlignment="1">
      <alignment horizontal="center" vertical="center"/>
    </xf>
    <xf numFmtId="0" fontId="41" fillId="10" borderId="4" xfId="8" applyFont="1" applyFill="1" applyBorder="1" applyAlignment="1">
      <alignment horizontal="center" vertical="center"/>
    </xf>
    <xf numFmtId="0" fontId="10" fillId="10" borderId="4" xfId="2" applyFill="1" applyBorder="1" applyAlignment="1">
      <alignment horizontal="center" vertical="center" wrapText="1"/>
    </xf>
    <xf numFmtId="0" fontId="6" fillId="10" borderId="4" xfId="8" applyFont="1" applyFill="1" applyBorder="1" applyAlignment="1">
      <alignment horizontal="center" vertical="center"/>
    </xf>
    <xf numFmtId="0" fontId="41" fillId="9" borderId="4" xfId="8" applyFont="1" applyFill="1" applyBorder="1" applyAlignment="1">
      <alignment horizontal="center" vertical="center"/>
    </xf>
    <xf numFmtId="0" fontId="19" fillId="9" borderId="4" xfId="2" applyFont="1" applyFill="1" applyBorder="1" applyAlignment="1">
      <alignment horizontal="center" vertical="center" wrapText="1"/>
    </xf>
    <xf numFmtId="0" fontId="42" fillId="0" borderId="0" xfId="8" applyFont="1" applyBorder="1" applyAlignment="1">
      <alignment vertical="center"/>
    </xf>
    <xf numFmtId="49" fontId="55" fillId="0" borderId="0" xfId="0" applyNumberFormat="1" applyFont="1" applyBorder="1" applyAlignment="1">
      <alignment horizontal="left" vertical="center"/>
    </xf>
    <xf numFmtId="0" fontId="8" fillId="0" borderId="0" xfId="0" applyFont="1" applyBorder="1" applyAlignment="1">
      <alignment horizontal="right" vertical="center"/>
    </xf>
    <xf numFmtId="0" fontId="56" fillId="0" borderId="0" xfId="0" applyFont="1" applyBorder="1" applyAlignment="1">
      <alignment horizontal="left" vertical="center"/>
    </xf>
    <xf numFmtId="0" fontId="7" fillId="12" borderId="4" xfId="4" applyFont="1" applyFill="1" applyBorder="1" applyAlignment="1">
      <alignment horizontal="center" vertical="center" wrapText="1"/>
    </xf>
    <xf numFmtId="0" fontId="10" fillId="12" borderId="2" xfId="2" applyFill="1" applyBorder="1" applyAlignment="1">
      <alignment horizontal="center" vertical="center" wrapText="1"/>
    </xf>
    <xf numFmtId="0" fontId="34" fillId="12" borderId="3" xfId="3" applyFont="1" applyFill="1" applyAlignment="1">
      <alignment horizontal="center" vertical="center"/>
    </xf>
    <xf numFmtId="49" fontId="10" fillId="12" borderId="2" xfId="2" applyNumberFormat="1" applyFill="1" applyBorder="1" applyAlignment="1">
      <alignment horizontal="center" vertical="center" wrapText="1"/>
    </xf>
    <xf numFmtId="4" fontId="66" fillId="12" borderId="1" xfId="1" applyNumberFormat="1" applyFill="1" applyBorder="1" applyAlignment="1">
      <alignment horizontal="right" vertical="center"/>
    </xf>
    <xf numFmtId="167" fontId="66" fillId="12" borderId="1" xfId="1" applyNumberFormat="1" applyFill="1" applyBorder="1" applyAlignment="1">
      <alignment horizontal="right" vertical="center"/>
    </xf>
    <xf numFmtId="3" fontId="66" fillId="12" borderId="1" xfId="1" applyNumberFormat="1" applyFill="1" applyBorder="1" applyAlignment="1">
      <alignment horizontal="right" vertical="center"/>
    </xf>
    <xf numFmtId="0" fontId="57" fillId="12" borderId="3" xfId="3" applyFont="1" applyFill="1" applyAlignment="1">
      <alignment horizontal="center" vertical="center"/>
    </xf>
    <xf numFmtId="0" fontId="58" fillId="12" borderId="3" xfId="3" applyFont="1" applyFill="1" applyAlignment="1">
      <alignment horizontal="center" vertical="center"/>
    </xf>
    <xf numFmtId="0" fontId="35" fillId="12" borderId="3" xfId="3" applyFont="1" applyFill="1" applyAlignment="1">
      <alignment horizontal="center" vertical="center"/>
    </xf>
    <xf numFmtId="0" fontId="59" fillId="12" borderId="3" xfId="3" applyFont="1" applyFill="1" applyAlignment="1">
      <alignment horizontal="center" vertical="center"/>
    </xf>
    <xf numFmtId="166" fontId="66" fillId="3" borderId="1" xfId="1" applyNumberFormat="1" applyFill="1" applyBorder="1" applyAlignment="1">
      <alignment horizontal="right" vertical="center"/>
    </xf>
    <xf numFmtId="1" fontId="66" fillId="3" borderId="1" xfId="1" applyNumberFormat="1" applyFill="1" applyBorder="1" applyAlignment="1">
      <alignment horizontal="right" vertical="center"/>
    </xf>
    <xf numFmtId="0" fontId="7" fillId="9" borderId="4" xfId="4" applyFont="1" applyFill="1" applyBorder="1" applyAlignment="1">
      <alignment horizontal="center" vertical="center" wrapText="1"/>
    </xf>
    <xf numFmtId="0" fontId="62" fillId="9" borderId="3" xfId="12" applyFill="1" applyBorder="1" applyAlignment="1">
      <alignment horizontal="center" vertical="center"/>
      <protection locked="0"/>
    </xf>
    <xf numFmtId="2" fontId="10" fillId="9" borderId="2" xfId="2" applyNumberFormat="1" applyFill="1" applyBorder="1" applyAlignment="1">
      <alignment horizontal="center" vertical="center"/>
    </xf>
    <xf numFmtId="0" fontId="12" fillId="0" borderId="12" xfId="0" applyFont="1" applyBorder="1"/>
    <xf numFmtId="0" fontId="2" fillId="0" borderId="13" xfId="0" applyFont="1" applyBorder="1"/>
    <xf numFmtId="0" fontId="12" fillId="0" borderId="14" xfId="0" applyFont="1" applyBorder="1" applyAlignment="1">
      <alignment horizontal="center"/>
    </xf>
    <xf numFmtId="0" fontId="2" fillId="0" borderId="15" xfId="0" applyFont="1" applyBorder="1" applyAlignment="1">
      <alignment horizontal="center"/>
    </xf>
    <xf numFmtId="2" fontId="10" fillId="12" borderId="4" xfId="2" applyNumberFormat="1" applyFill="1" applyBorder="1" applyAlignment="1">
      <alignment horizontal="center" vertical="center" wrapText="1"/>
    </xf>
    <xf numFmtId="0" fontId="10" fillId="12" borderId="4" xfId="2" applyFill="1" applyBorder="1" applyAlignment="1">
      <alignment horizontal="center" vertical="center" wrapText="1"/>
    </xf>
    <xf numFmtId="4" fontId="66" fillId="9" borderId="3" xfId="1" applyNumberFormat="1" applyFill="1" applyBorder="1" applyAlignment="1">
      <alignment horizontal="right" vertical="center"/>
    </xf>
    <xf numFmtId="2" fontId="66" fillId="3" borderId="3" xfId="1" applyNumberFormat="1" applyFill="1" applyBorder="1" applyAlignment="1">
      <alignment horizontal="right" vertical="center"/>
    </xf>
    <xf numFmtId="4" fontId="66" fillId="12" borderId="3" xfId="1" applyNumberFormat="1" applyFill="1" applyBorder="1" applyAlignment="1">
      <alignment horizontal="right" vertical="center"/>
    </xf>
    <xf numFmtId="3" fontId="66" fillId="12" borderId="3" xfId="1" applyNumberFormat="1" applyFill="1" applyBorder="1" applyAlignment="1">
      <alignment horizontal="right" vertical="center"/>
    </xf>
    <xf numFmtId="0" fontId="12" fillId="0" borderId="16" xfId="0" applyFont="1" applyBorder="1"/>
    <xf numFmtId="0" fontId="12" fillId="0" borderId="11" xfId="0" applyFont="1" applyBorder="1"/>
    <xf numFmtId="0" fontId="61" fillId="0" borderId="5" xfId="8">
      <alignment horizontal="center"/>
    </xf>
    <xf numFmtId="0" fontId="61" fillId="12" borderId="5" xfId="8" applyFill="1">
      <alignment horizontal="center"/>
    </xf>
    <xf numFmtId="0" fontId="61" fillId="3" borderId="5" xfId="8" applyFill="1">
      <alignment horizontal="center"/>
    </xf>
    <xf numFmtId="4" fontId="66" fillId="0" borderId="1" xfId="1">
      <alignment horizontal="right"/>
    </xf>
    <xf numFmtId="164" fontId="66" fillId="12" borderId="1" xfId="1" applyNumberFormat="1" applyFill="1" applyBorder="1" applyAlignment="1">
      <alignment horizontal="right" vertical="center"/>
    </xf>
    <xf numFmtId="164" fontId="66" fillId="4" borderId="1" xfId="1" applyNumberFormat="1" applyFill="1" applyBorder="1" applyAlignment="1">
      <alignment horizontal="right" vertical="center"/>
    </xf>
    <xf numFmtId="164" fontId="66" fillId="0" borderId="3" xfId="1" applyNumberFormat="1" applyBorder="1" applyAlignment="1">
      <alignment horizontal="right" vertical="center"/>
    </xf>
    <xf numFmtId="167" fontId="66" fillId="0" borderId="1" xfId="1" applyNumberFormat="1" applyBorder="1" applyAlignment="1">
      <alignment horizontal="right" vertical="center"/>
    </xf>
    <xf numFmtId="3" fontId="66" fillId="0" borderId="1" xfId="1" applyNumberFormat="1" applyBorder="1" applyAlignment="1">
      <alignment horizontal="right" vertical="center"/>
    </xf>
    <xf numFmtId="166" fontId="66" fillId="0" borderId="1" xfId="1" applyNumberFormat="1" applyBorder="1" applyAlignment="1">
      <alignment horizontal="right" vertical="center"/>
    </xf>
    <xf numFmtId="3" fontId="66" fillId="0" borderId="1" xfId="1" applyNumberFormat="1">
      <alignment horizontal="right"/>
    </xf>
    <xf numFmtId="0" fontId="54" fillId="0" borderId="0" xfId="8" applyFont="1" applyBorder="1" applyAlignment="1">
      <alignment horizontal="left" vertical="center"/>
    </xf>
    <xf numFmtId="0" fontId="64" fillId="0" borderId="0"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xf numFmtId="0" fontId="64" fillId="0" borderId="0" xfId="0" applyFont="1" applyBorder="1"/>
    <xf numFmtId="0" fontId="63" fillId="0" borderId="0" xfId="9">
      <alignment horizontal="center" vertical="center"/>
      <protection locked="0"/>
    </xf>
    <xf numFmtId="0" fontId="63" fillId="0" borderId="0" xfId="9" applyAlignment="1">
      <alignment horizontal="left" vertical="center"/>
      <protection locked="0"/>
    </xf>
    <xf numFmtId="0" fontId="65" fillId="0" borderId="3" xfId="12" applyFont="1" applyBorder="1" applyAlignment="1">
      <alignment horizontal="center" vertical="center"/>
      <protection locked="0"/>
    </xf>
    <xf numFmtId="0" fontId="7" fillId="0" borderId="3" xfId="10" applyBorder="1" applyAlignment="1">
      <alignment horizontal="right" vertical="center"/>
    </xf>
    <xf numFmtId="0" fontId="18" fillId="0" borderId="3" xfId="10" applyFont="1" applyBorder="1" applyAlignment="1">
      <alignment horizontal="right" vertical="center"/>
    </xf>
    <xf numFmtId="0" fontId="18" fillId="0" borderId="6" xfId="10" applyFont="1" applyBorder="1" applyAlignment="1">
      <alignment horizontal="right" vertical="center"/>
    </xf>
    <xf numFmtId="0" fontId="7" fillId="0" borderId="0" xfId="10" applyBorder="1" applyAlignment="1">
      <alignment horizontal="right" vertical="center"/>
    </xf>
    <xf numFmtId="0" fontId="7" fillId="0" borderId="0" xfId="11" applyBorder="1" applyAlignment="1">
      <alignment horizontal="right" vertical="center"/>
    </xf>
    <xf numFmtId="0" fontId="7" fillId="0" borderId="6" xfId="10" applyBorder="1" applyAlignment="1">
      <alignment horizontal="right" vertical="center"/>
    </xf>
    <xf numFmtId="0" fontId="7" fillId="0" borderId="0" xfId="10" applyBorder="1" applyAlignment="1">
      <alignment horizontal="center" vertical="center"/>
    </xf>
    <xf numFmtId="165" fontId="7" fillId="3" borderId="6" xfId="10" applyNumberFormat="1" applyFill="1" applyBorder="1" applyAlignment="1">
      <alignment horizontal="right" vertical="center"/>
    </xf>
    <xf numFmtId="0" fontId="7" fillId="12" borderId="6" xfId="10" applyFill="1" applyBorder="1" applyAlignment="1">
      <alignment horizontal="right" vertical="center"/>
    </xf>
    <xf numFmtId="0" fontId="7" fillId="9" borderId="6" xfId="10" applyFill="1" applyBorder="1" applyAlignment="1">
      <alignment horizontal="right" vertical="center"/>
    </xf>
    <xf numFmtId="0" fontId="7" fillId="4" borderId="6" xfId="10" applyFill="1" applyBorder="1" applyAlignment="1">
      <alignment horizontal="right" vertical="center"/>
    </xf>
    <xf numFmtId="0" fontId="7" fillId="0" borderId="0" xfId="10" applyFill="1" applyBorder="1" applyAlignment="1">
      <alignment horizontal="center" vertical="center"/>
    </xf>
    <xf numFmtId="0" fontId="7" fillId="12" borderId="3" xfId="10" applyFill="1" applyBorder="1" applyAlignment="1">
      <alignment horizontal="right" vertical="center"/>
    </xf>
    <xf numFmtId="164" fontId="66" fillId="12" borderId="1" xfId="1" applyNumberFormat="1" applyFill="1">
      <alignment horizontal="right"/>
    </xf>
    <xf numFmtId="0" fontId="12" fillId="0" borderId="1" xfId="0" applyFont="1" applyBorder="1" applyAlignment="1">
      <alignment horizontal="right"/>
    </xf>
    <xf numFmtId="0" fontId="12" fillId="0" borderId="3" xfId="0" applyFont="1" applyBorder="1" applyAlignment="1">
      <alignment horizontal="right"/>
    </xf>
    <xf numFmtId="0" fontId="12" fillId="0" borderId="3" xfId="0" applyFont="1" applyBorder="1"/>
    <xf numFmtId="0" fontId="37" fillId="0" borderId="3" xfId="0" applyFont="1" applyBorder="1"/>
    <xf numFmtId="0" fontId="12" fillId="0" borderId="1" xfId="0" applyFont="1" applyBorder="1"/>
    <xf numFmtId="0" fontId="11" fillId="0" borderId="10" xfId="0" applyFont="1" applyBorder="1" applyAlignment="1">
      <alignment horizontal="left"/>
    </xf>
    <xf numFmtId="0" fontId="38" fillId="0" borderId="0" xfId="0" applyFont="1" applyBorder="1" applyAlignment="1">
      <alignment horizontal="left" vertical="center"/>
    </xf>
    <xf numFmtId="0" fontId="7" fillId="0" borderId="0" xfId="0" applyFont="1" applyBorder="1" applyAlignment="1">
      <alignment horizontal="left" vertical="center"/>
    </xf>
    <xf numFmtId="0" fontId="10" fillId="0" borderId="0" xfId="6" applyFont="1" applyBorder="1" applyAlignment="1">
      <alignment horizontal="right" vertical="center"/>
    </xf>
    <xf numFmtId="0" fontId="10" fillId="0" borderId="0" xfId="6" applyFont="1" applyBorder="1" applyAlignment="1">
      <alignment horizontal="right" vertical="top"/>
    </xf>
    <xf numFmtId="0" fontId="6" fillId="0" borderId="0" xfId="6" applyFont="1" applyBorder="1" applyAlignment="1">
      <alignment horizontal="right" vertical="center"/>
    </xf>
    <xf numFmtId="0" fontId="8" fillId="0" borderId="4" xfId="7" applyBorder="1" applyAlignment="1">
      <alignment horizontal="center" vertical="center"/>
    </xf>
    <xf numFmtId="0" fontId="8" fillId="0" borderId="3" xfId="7" applyBorder="1" applyAlignment="1">
      <alignment horizontal="center" vertical="center"/>
    </xf>
    <xf numFmtId="0" fontId="1" fillId="0" borderId="4" xfId="7" applyFont="1" applyBorder="1" applyAlignment="1">
      <alignment horizontal="center" vertical="center"/>
    </xf>
    <xf numFmtId="0" fontId="1" fillId="0" borderId="3" xfId="7" applyFont="1" applyBorder="1" applyAlignment="1">
      <alignment horizontal="center" vertical="center"/>
    </xf>
    <xf numFmtId="0" fontId="14" fillId="0" borderId="10" xfId="8" applyFont="1" applyBorder="1" applyAlignment="1">
      <alignment horizontal="center" vertical="center" wrapText="1"/>
    </xf>
    <xf numFmtId="0" fontId="48" fillId="0" borderId="0" xfId="8" applyFont="1" applyBorder="1" applyAlignment="1">
      <alignment horizontal="center" vertical="center"/>
    </xf>
    <xf numFmtId="0" fontId="16" fillId="0" borderId="4" xfId="12" applyFont="1" applyBorder="1" applyAlignment="1">
      <alignment horizontal="center" vertical="center"/>
      <protection locked="0"/>
    </xf>
    <xf numFmtId="0" fontId="16" fillId="0" borderId="3" xfId="12" applyFont="1" applyAlignment="1">
      <alignment horizontal="center" vertical="center"/>
      <protection locked="0"/>
    </xf>
    <xf numFmtId="0" fontId="60" fillId="0" borderId="4" xfId="7" applyFont="1" applyBorder="1" applyAlignment="1">
      <alignment horizontal="center" vertical="center"/>
    </xf>
    <xf numFmtId="0" fontId="60" fillId="0" borderId="3" xfId="7" applyFont="1" applyBorder="1" applyAlignment="1">
      <alignment horizontal="center" vertical="center"/>
    </xf>
    <xf numFmtId="0" fontId="8" fillId="12" borderId="4" xfId="7" applyFill="1" applyBorder="1" applyAlignment="1">
      <alignment horizontal="center" vertical="center"/>
    </xf>
    <xf numFmtId="0" fontId="8" fillId="12" borderId="3" xfId="7" applyFill="1" applyBorder="1" applyAlignment="1">
      <alignment horizontal="center" vertical="center"/>
    </xf>
    <xf numFmtId="0" fontId="8" fillId="3" borderId="4" xfId="7" applyFill="1" applyBorder="1" applyAlignment="1">
      <alignment horizontal="center" vertical="center"/>
    </xf>
    <xf numFmtId="0" fontId="8" fillId="3" borderId="3" xfId="7" applyFill="1" applyBorder="1" applyAlignment="1">
      <alignment horizontal="center" vertical="center"/>
    </xf>
    <xf numFmtId="0" fontId="49" fillId="11" borderId="16" xfId="8" applyFont="1" applyFill="1" applyBorder="1" applyAlignment="1">
      <alignment horizontal="center" vertical="center"/>
    </xf>
    <xf numFmtId="0" fontId="49" fillId="11" borderId="11" xfId="8" applyFont="1" applyFill="1" applyBorder="1" applyAlignment="1">
      <alignment horizontal="center" vertical="center"/>
    </xf>
    <xf numFmtId="0" fontId="16" fillId="0" borderId="3" xfId="12" applyFont="1" applyBorder="1" applyAlignment="1">
      <alignment horizontal="center" vertical="center"/>
      <protection locked="0"/>
    </xf>
    <xf numFmtId="0" fontId="48" fillId="0" borderId="7" xfId="8" applyFont="1" applyBorder="1" applyAlignment="1">
      <alignment horizontal="center" vertical="center"/>
    </xf>
    <xf numFmtId="0" fontId="25" fillId="0" borderId="7" xfId="0" applyFont="1" applyBorder="1" applyAlignment="1">
      <alignment horizontal="center" vertical="center"/>
    </xf>
    <xf numFmtId="0" fontId="8" fillId="9" borderId="4" xfId="7" applyFill="1" applyBorder="1" applyAlignment="1">
      <alignment horizontal="center" vertical="center"/>
    </xf>
    <xf numFmtId="0" fontId="8" fillId="9" borderId="3" xfId="7" applyFill="1" applyBorder="1" applyAlignment="1">
      <alignment horizontal="center" vertical="center"/>
    </xf>
    <xf numFmtId="0" fontId="12" fillId="0" borderId="0" xfId="0" applyNumberFormat="1" applyFont="1" applyBorder="1" applyAlignment="1">
      <alignment horizontal="left" vertical="top" wrapText="1"/>
    </xf>
    <xf numFmtId="0" fontId="27" fillId="0" borderId="0" xfId="0" applyFont="1" applyBorder="1" applyAlignment="1">
      <alignment horizontal="center"/>
    </xf>
    <xf numFmtId="0" fontId="8" fillId="4" borderId="4" xfId="7" applyFill="1" applyBorder="1" applyAlignment="1">
      <alignment horizontal="center" vertical="center"/>
    </xf>
    <xf numFmtId="0" fontId="8" fillId="4" borderId="3" xfId="7" applyFill="1" applyBorder="1" applyAlignment="1">
      <alignment horizontal="center" vertical="center"/>
    </xf>
    <xf numFmtId="0" fontId="6" fillId="0" borderId="8" xfId="8" applyFont="1" applyBorder="1" applyAlignment="1">
      <alignment horizontal="center" vertical="center" wrapText="1"/>
    </xf>
    <xf numFmtId="0" fontId="0" fillId="0" borderId="8" xfId="0" applyBorder="1" applyAlignment="1">
      <alignment horizontal="center" vertical="center" wrapText="1"/>
    </xf>
    <xf numFmtId="0" fontId="6" fillId="0" borderId="5" xfId="8" applyFont="1" applyBorder="1" applyAlignment="1">
      <alignment horizontal="left" vertical="center" wrapText="1" indent="1"/>
    </xf>
    <xf numFmtId="0" fontId="0" fillId="0" borderId="10" xfId="0" applyBorder="1" applyAlignment="1">
      <alignment horizontal="left" vertical="center" wrapText="1" indent="1"/>
    </xf>
    <xf numFmtId="0" fontId="0" fillId="0" borderId="4" xfId="0"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0" fillId="0" borderId="7" xfId="0" applyBorder="1" applyAlignment="1">
      <alignment horizontal="left" vertical="center" wrapText="1" indent="1"/>
    </xf>
    <xf numFmtId="0" fontId="6" fillId="3" borderId="8" xfId="8" applyFont="1" applyFill="1" applyBorder="1" applyAlignment="1">
      <alignment horizontal="center" vertical="center" wrapText="1"/>
    </xf>
    <xf numFmtId="0" fontId="0" fillId="6" borderId="8" xfId="0" applyFill="1" applyBorder="1" applyAlignment="1">
      <alignment horizontal="center" vertical="center" wrapText="1"/>
    </xf>
    <xf numFmtId="0" fontId="51" fillId="0" borderId="0" xfId="8" applyFont="1" applyBorder="1" applyAlignment="1">
      <alignment horizontal="center" vertical="center"/>
    </xf>
    <xf numFmtId="0" fontId="6" fillId="4" borderId="8" xfId="8" applyFont="1" applyFill="1" applyBorder="1" applyAlignment="1">
      <alignment horizontal="center" vertical="center" wrapText="1"/>
    </xf>
    <xf numFmtId="0" fontId="0" fillId="4" borderId="8" xfId="0" applyFill="1" applyBorder="1" applyAlignment="1">
      <alignment horizontal="center" vertical="center" wrapText="1"/>
    </xf>
    <xf numFmtId="0" fontId="26" fillId="0" borderId="0" xfId="8" applyFont="1" applyBorder="1" applyAlignment="1">
      <alignment horizontal="center" vertical="center"/>
    </xf>
    <xf numFmtId="0" fontId="23" fillId="4" borderId="10" xfId="8" applyFont="1" applyFill="1" applyBorder="1" applyAlignment="1">
      <alignment horizontal="center" vertical="center" wrapText="1"/>
    </xf>
    <xf numFmtId="0" fontId="23" fillId="4" borderId="1" xfId="8" applyFont="1" applyFill="1" applyBorder="1" applyAlignment="1">
      <alignment horizontal="center" vertical="center" wrapText="1"/>
    </xf>
    <xf numFmtId="0" fontId="23" fillId="4" borderId="0" xfId="8" applyFont="1" applyFill="1" applyBorder="1" applyAlignment="1">
      <alignment horizontal="center" vertical="center" wrapText="1"/>
    </xf>
    <xf numFmtId="0" fontId="23" fillId="4" borderId="3" xfId="8" applyFont="1" applyFill="1" applyBorder="1" applyAlignment="1">
      <alignment horizontal="center" vertical="center" wrapText="1"/>
    </xf>
    <xf numFmtId="0" fontId="23" fillId="4" borderId="7" xfId="8" applyFont="1" applyFill="1" applyBorder="1" applyAlignment="1">
      <alignment horizontal="center" vertical="center" wrapText="1"/>
    </xf>
    <xf numFmtId="0" fontId="23" fillId="4" borderId="6" xfId="8"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7" fillId="0" borderId="0" xfId="6" applyFont="1" applyBorder="1" applyAlignment="1">
      <alignment horizontal="right" vertical="center" wrapText="1"/>
    </xf>
    <xf numFmtId="0" fontId="7" fillId="0" borderId="3" xfId="6" applyFont="1" applyBorder="1" applyAlignment="1">
      <alignment horizontal="right" vertical="center" wrapText="1"/>
    </xf>
    <xf numFmtId="0" fontId="46" fillId="0" borderId="0" xfId="0" applyFont="1" applyBorder="1" applyAlignment="1">
      <alignment horizontal="center" vertical="center"/>
    </xf>
    <xf numFmtId="0" fontId="61" fillId="0" borderId="5" xfId="8">
      <alignment horizontal="center"/>
    </xf>
    <xf numFmtId="0" fontId="63" fillId="0" borderId="0" xfId="9">
      <alignment horizontal="center" vertical="center"/>
      <protection locked="0"/>
    </xf>
    <xf numFmtId="0" fontId="11" fillId="7" borderId="7" xfId="0" applyFont="1" applyFill="1" applyBorder="1" applyAlignment="1">
      <alignment horizontal="center" vertical="center"/>
    </xf>
    <xf numFmtId="0" fontId="1" fillId="7" borderId="7" xfId="0" applyFont="1" applyFill="1" applyBorder="1" applyAlignment="1">
      <alignment horizontal="center" vertical="center"/>
    </xf>
    <xf numFmtId="0" fontId="9" fillId="0" borderId="9" xfId="0" applyFont="1" applyBorder="1" applyAlignment="1">
      <alignment horizontal="center" vertical="center"/>
    </xf>
    <xf numFmtId="0" fontId="1" fillId="0" borderId="9" xfId="0" applyFont="1" applyBorder="1" applyAlignment="1">
      <alignment horizontal="center" vertical="center"/>
    </xf>
    <xf numFmtId="0" fontId="10" fillId="0" borderId="0" xfId="2" applyFont="1" applyBorder="1" applyAlignment="1">
      <alignment horizontal="left" vertical="center"/>
    </xf>
    <xf numFmtId="0" fontId="10" fillId="0" borderId="1" xfId="0" applyFont="1" applyBorder="1" applyAlignment="1">
      <alignment horizontal="right"/>
    </xf>
    <xf numFmtId="0" fontId="45" fillId="0" borderId="4" xfId="5" applyFont="1" applyAlignment="1">
      <alignment horizontal="center" vertical="center"/>
    </xf>
    <xf numFmtId="0" fontId="12" fillId="0" borderId="3" xfId="0" applyFont="1" applyBorder="1" applyAlignment="1">
      <alignment horizontal="center" vertical="center"/>
    </xf>
    <xf numFmtId="0" fontId="7" fillId="9" borderId="3" xfId="11" applyFill="1" applyBorder="1" applyAlignment="1">
      <alignment horizontal="right" vertical="center"/>
    </xf>
    <xf numFmtId="0" fontId="7" fillId="0" borderId="3" xfId="11" applyBorder="1" applyAlignment="1">
      <alignment horizontal="right" vertical="center"/>
    </xf>
    <xf numFmtId="0" fontId="45" fillId="0" borderId="0" xfId="6" applyFont="1" applyBorder="1" applyAlignment="1">
      <alignment horizontal="right" vertical="center"/>
    </xf>
    <xf numFmtId="0" fontId="45" fillId="4" borderId="4" xfId="5" applyFont="1" applyFill="1" applyBorder="1" applyAlignment="1">
      <alignment horizontal="center" vertical="center"/>
    </xf>
    <xf numFmtId="0" fontId="7" fillId="4" borderId="3" xfId="11" applyFill="1" applyBorder="1" applyAlignment="1">
      <alignment horizontal="right" vertical="center"/>
    </xf>
    <xf numFmtId="0" fontId="7" fillId="0" borderId="0" xfId="11" applyFill="1" applyBorder="1" applyAlignment="1">
      <alignment horizontal="center" vertical="center"/>
    </xf>
    <xf numFmtId="0" fontId="45" fillId="3" borderId="4" xfId="5" applyFont="1" applyFill="1" applyBorder="1" applyAlignment="1">
      <alignment horizontal="center" vertical="center"/>
    </xf>
    <xf numFmtId="0" fontId="7" fillId="3" borderId="3" xfId="11" applyFill="1" applyBorder="1" applyAlignment="1">
      <alignment horizontal="right" vertical="center"/>
    </xf>
    <xf numFmtId="0" fontId="45" fillId="12" borderId="4" xfId="5" applyFont="1" applyFill="1" applyAlignment="1">
      <alignment horizontal="center" vertical="center"/>
    </xf>
    <xf numFmtId="0" fontId="7" fillId="12" borderId="3" xfId="11" applyFill="1" applyBorder="1" applyAlignment="1">
      <alignment horizontal="right" vertical="center"/>
    </xf>
    <xf numFmtId="0" fontId="45" fillId="12" borderId="4" xfId="5" applyFont="1" applyFill="1" applyBorder="1" applyAlignment="1">
      <alignment horizontal="center" vertical="center"/>
    </xf>
    <xf numFmtId="0" fontId="45" fillId="10" borderId="4" xfId="5" applyFont="1" applyFill="1" applyBorder="1" applyAlignment="1">
      <alignment horizontal="center" vertical="center"/>
    </xf>
    <xf numFmtId="0" fontId="12" fillId="0" borderId="3" xfId="0" applyFont="1" applyBorder="1" applyAlignment="1">
      <alignment horizontal="right" vertical="center"/>
    </xf>
    <xf numFmtId="0" fontId="12" fillId="0" borderId="0" xfId="0" applyFont="1" applyBorder="1" applyAlignment="1">
      <alignment horizontal="left" vertical="center"/>
    </xf>
    <xf numFmtId="0" fontId="12" fillId="0" borderId="1"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3" xfId="0" applyFont="1" applyBorder="1" applyAlignment="1">
      <alignment vertical="center"/>
    </xf>
    <xf numFmtId="0" fontId="14" fillId="0" borderId="0" xfId="0" applyFont="1" applyBorder="1" applyAlignment="1">
      <alignment horizontal="center" vertical="center"/>
    </xf>
    <xf numFmtId="14" fontId="7" fillId="0" borderId="0" xfId="11" applyNumberFormat="1" applyBorder="1" applyAlignment="1">
      <alignment horizontal="right" vertical="center"/>
    </xf>
    <xf numFmtId="0" fontId="45" fillId="0" borderId="4" xfId="5" applyFont="1" applyBorder="1" applyAlignment="1">
      <alignment horizontal="center" vertical="center"/>
    </xf>
    <xf numFmtId="0" fontId="24" fillId="0" borderId="0" xfId="8" applyFont="1" applyBorder="1" applyAlignment="1">
      <alignment horizontal="center" vertical="center"/>
    </xf>
    <xf numFmtId="0" fontId="12" fillId="0" borderId="1" xfId="0" applyFont="1" applyBorder="1" applyAlignment="1">
      <alignment horizontal="right" vertical="center"/>
    </xf>
    <xf numFmtId="0" fontId="11" fillId="0" borderId="10" xfId="0" applyFont="1" applyBorder="1" applyAlignment="1">
      <alignment horizontal="left" vertical="center"/>
    </xf>
    <xf numFmtId="0" fontId="38" fillId="0" borderId="4" xfId="5" applyFont="1" applyBorder="1" applyAlignment="1">
      <alignment horizontal="center" vertical="center"/>
    </xf>
    <xf numFmtId="0" fontId="39" fillId="0" borderId="4" xfId="5" applyFont="1" applyBorder="1" applyAlignment="1">
      <alignment horizontal="center" vertical="center"/>
    </xf>
    <xf numFmtId="0" fontId="18" fillId="0" borderId="3" xfId="11" applyFont="1" applyBorder="1" applyAlignment="1">
      <alignment horizontal="right" vertical="center"/>
    </xf>
    <xf numFmtId="0" fontId="39" fillId="9" borderId="4" xfId="5" applyFont="1" applyFill="1" applyBorder="1" applyAlignment="1">
      <alignment horizontal="center" vertical="center"/>
    </xf>
    <xf numFmtId="0" fontId="12" fillId="0" borderId="0" xfId="0" applyFont="1" applyAlignment="1">
      <alignment horizontal="left" vertical="center"/>
    </xf>
    <xf numFmtId="0" fontId="37" fillId="0" borderId="5" xfId="0" applyFont="1" applyBorder="1" applyAlignment="1">
      <alignment vertical="center"/>
    </xf>
    <xf numFmtId="0" fontId="5" fillId="0" borderId="0" xfId="0" applyFont="1" applyBorder="1" applyAlignment="1">
      <alignment horizontal="center" vertical="center"/>
    </xf>
  </cellXfs>
  <cellStyles count="13">
    <cellStyle name="Atommasse" xfId="1"/>
    <cellStyle name="Atomradius" xfId="2"/>
    <cellStyle name="biatomar" xfId="3"/>
    <cellStyle name="Dichte" xfId="4"/>
    <cellStyle name="EN" xfId="5"/>
    <cellStyle name="Legende" xfId="6"/>
    <cellStyle name="Name" xfId="7"/>
    <cellStyle name="Ordnungszahl" xfId="8"/>
    <cellStyle name="Periode" xfId="9"/>
    <cellStyle name="Schmelzpunkt" xfId="10"/>
    <cellStyle name="Siedepunkt" xfId="11"/>
    <cellStyle name="Standard" xfId="0" builtinId="0"/>
    <cellStyle name="Symbol" xfId="12"/>
  </cellStyles>
  <dxfs count="0"/>
  <tableStyles count="0" defaultTableStyle="TableStyleMedium9" defaultPivotStyle="PivotStyleLight16"/>
  <colors>
    <mruColors>
      <color rgb="FF0A9632"/>
      <color rgb="FFFFFF00"/>
      <color rgb="FF089C2F"/>
      <color rgb="FF3264FF"/>
      <color rgb="FF3366C0"/>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231140</xdr:colOff>
      <xdr:row>1</xdr:row>
      <xdr:rowOff>2540</xdr:rowOff>
    </xdr:from>
    <xdr:to>
      <xdr:col>24</xdr:col>
      <xdr:colOff>228600</xdr:colOff>
      <xdr:row>13</xdr:row>
      <xdr:rowOff>368300</xdr:rowOff>
    </xdr:to>
    <xdr:sp macro="" textlink="">
      <xdr:nvSpPr>
        <xdr:cNvPr id="49" name="Abgerundetes Rechteck 48"/>
        <xdr:cNvSpPr/>
      </xdr:nvSpPr>
      <xdr:spPr bwMode="auto">
        <a:xfrm>
          <a:off x="2349500" y="307340"/>
          <a:ext cx="8554720" cy="3025140"/>
        </a:xfrm>
        <a:prstGeom prst="roundRect">
          <a:avLst>
            <a:gd name="adj" fmla="val 4576"/>
          </a:avLst>
        </a:prstGeom>
        <a:solidFill>
          <a:srgbClr val="FFFFFF">
            <a:alpha val="0"/>
          </a:srgbClr>
        </a:solid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lang="de-DE" sz="1100"/>
        </a:p>
      </xdr:txBody>
    </xdr:sp>
    <xdr:clientData/>
  </xdr:twoCellAnchor>
  <xdr:twoCellAnchor>
    <xdr:from>
      <xdr:col>15</xdr:col>
      <xdr:colOff>7620</xdr:colOff>
      <xdr:row>15</xdr:row>
      <xdr:rowOff>198120</xdr:rowOff>
    </xdr:from>
    <xdr:to>
      <xdr:col>20</xdr:col>
      <xdr:colOff>556260</xdr:colOff>
      <xdr:row>16</xdr:row>
      <xdr:rowOff>121920</xdr:rowOff>
    </xdr:to>
    <xdr:sp macro="" textlink="">
      <xdr:nvSpPr>
        <xdr:cNvPr id="1070" name="AutoShape 46"/>
        <xdr:cNvSpPr>
          <a:spLocks/>
        </xdr:cNvSpPr>
      </xdr:nvSpPr>
      <xdr:spPr bwMode="auto">
        <a:xfrm rot="16200000">
          <a:off x="8244840" y="2491740"/>
          <a:ext cx="129540" cy="2613660"/>
        </a:xfrm>
        <a:prstGeom prst="rightBrace">
          <a:avLst>
            <a:gd name="adj1" fmla="val 168137"/>
            <a:gd name="adj2" fmla="val 50000"/>
          </a:avLst>
        </a:prstGeom>
        <a:noFill/>
        <a:ln w="9525">
          <a:solidFill>
            <a:srgbClr val="993366"/>
          </a:solidFill>
          <a:round/>
          <a:headEnd/>
          <a:tailEnd/>
        </a:ln>
      </xdr:spPr>
    </xdr:sp>
    <xdr:clientData/>
  </xdr:twoCellAnchor>
  <xdr:twoCellAnchor>
    <xdr:from>
      <xdr:col>0</xdr:col>
      <xdr:colOff>60960</xdr:colOff>
      <xdr:row>0</xdr:row>
      <xdr:rowOff>99060</xdr:rowOff>
    </xdr:from>
    <xdr:to>
      <xdr:col>1</xdr:col>
      <xdr:colOff>15240</xdr:colOff>
      <xdr:row>1</xdr:row>
      <xdr:rowOff>125730</xdr:rowOff>
    </xdr:to>
    <xdr:sp macro="" textlink="" fLocksText="0">
      <xdr:nvSpPr>
        <xdr:cNvPr id="1194" name="AutoShape 170"/>
        <xdr:cNvSpPr>
          <a:spLocks noChangeArrowheads="1"/>
        </xdr:cNvSpPr>
      </xdr:nvSpPr>
      <xdr:spPr bwMode="auto">
        <a:xfrm rot="10800000">
          <a:off x="60960" y="99060"/>
          <a:ext cx="266700" cy="331470"/>
        </a:xfrm>
        <a:custGeom>
          <a:avLst/>
          <a:gdLst>
            <a:gd name="G0" fmla="+- 9257 0 0"/>
            <a:gd name="G1" fmla="+- 18514 0 0"/>
            <a:gd name="G2" fmla="+- 7200 0 0"/>
            <a:gd name="G3" fmla="*/ 9257 1 2"/>
            <a:gd name="G4" fmla="+- G3 10800 0"/>
            <a:gd name="G5" fmla="+- 21600 9257 18514"/>
            <a:gd name="G6" fmla="+- 18514 7200 0"/>
            <a:gd name="G7" fmla="*/ G6 1 2"/>
            <a:gd name="G8" fmla="*/ 18514 2 1"/>
            <a:gd name="G9" fmla="+- G8 0 21600"/>
            <a:gd name="G10" fmla="*/ 21600 G0 G1"/>
            <a:gd name="G11" fmla="*/ 21600 G4 G1"/>
            <a:gd name="G12" fmla="*/ 21600 G5 G1"/>
            <a:gd name="G13" fmla="*/ 21600 G7 G1"/>
            <a:gd name="G14" fmla="*/ 18514 1 2"/>
            <a:gd name="G15" fmla="+- G5 0 G4"/>
            <a:gd name="G16" fmla="+- G0 0 G4"/>
            <a:gd name="G17" fmla="*/ G2 G15 G16"/>
            <a:gd name="T0" fmla="*/ 15429 w 21600"/>
            <a:gd name="T1" fmla="*/ 0 h 21600"/>
            <a:gd name="T2" fmla="*/ 9257 w 21600"/>
            <a:gd name="T3" fmla="*/ 7200 h 21600"/>
            <a:gd name="T4" fmla="*/ 0 w 21600"/>
            <a:gd name="T5" fmla="*/ 18001 h 21600"/>
            <a:gd name="T6" fmla="*/ 9257 w 21600"/>
            <a:gd name="T7" fmla="*/ 21600 h 21600"/>
            <a:gd name="T8" fmla="*/ 18514 w 21600"/>
            <a:gd name="T9" fmla="*/ 15000 h 21600"/>
            <a:gd name="T10" fmla="*/ 21600 w 21600"/>
            <a:gd name="T11" fmla="*/ 7200 h 21600"/>
            <a:gd name="T12" fmla="*/ 17694720 60000 65536"/>
            <a:gd name="T13" fmla="*/ 11796480 60000 65536"/>
            <a:gd name="T14" fmla="*/ 11796480 60000 65536"/>
            <a:gd name="T15" fmla="*/ 5898240 60000 65536"/>
            <a:gd name="T16" fmla="*/ 0 60000 65536"/>
            <a:gd name="T17" fmla="*/ 0 60000 65536"/>
            <a:gd name="T18" fmla="*/ 0 w 21600"/>
            <a:gd name="T19" fmla="*/ G12 h 21600"/>
            <a:gd name="T20" fmla="*/ G1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B050"/>
        </a:solidFill>
        <a:ln w="9525">
          <a:noFill/>
          <a:miter lim="800000"/>
          <a:headEnd/>
          <a:tailEnd/>
        </a:ln>
      </xdr:spPr>
    </xdr:sp>
    <xdr:clientData fLocksWithSheet="0"/>
  </xdr:twoCellAnchor>
  <xdr:twoCellAnchor>
    <xdr:from>
      <xdr:col>8</xdr:col>
      <xdr:colOff>19594</xdr:colOff>
      <xdr:row>44</xdr:row>
      <xdr:rowOff>20955</xdr:rowOff>
    </xdr:from>
    <xdr:to>
      <xdr:col>8</xdr:col>
      <xdr:colOff>210094</xdr:colOff>
      <xdr:row>45</xdr:row>
      <xdr:rowOff>5715</xdr:rowOff>
    </xdr:to>
    <xdr:sp macro="" textlink="">
      <xdr:nvSpPr>
        <xdr:cNvPr id="140" name="Oval 298"/>
        <xdr:cNvSpPr>
          <a:spLocks noChangeArrowheads="1"/>
        </xdr:cNvSpPr>
      </xdr:nvSpPr>
      <xdr:spPr bwMode="auto">
        <a:xfrm>
          <a:off x="3440974"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10</xdr:col>
      <xdr:colOff>20138</xdr:colOff>
      <xdr:row>44</xdr:row>
      <xdr:rowOff>20955</xdr:rowOff>
    </xdr:from>
    <xdr:to>
      <xdr:col>10</xdr:col>
      <xdr:colOff>210638</xdr:colOff>
      <xdr:row>45</xdr:row>
      <xdr:rowOff>5715</xdr:rowOff>
    </xdr:to>
    <xdr:sp macro="" textlink="">
      <xdr:nvSpPr>
        <xdr:cNvPr id="141" name="Oval 298"/>
        <xdr:cNvSpPr>
          <a:spLocks noChangeArrowheads="1"/>
        </xdr:cNvSpPr>
      </xdr:nvSpPr>
      <xdr:spPr bwMode="auto">
        <a:xfrm>
          <a:off x="4348298"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6</xdr:col>
      <xdr:colOff>19050</xdr:colOff>
      <xdr:row>44</xdr:row>
      <xdr:rowOff>20955</xdr:rowOff>
    </xdr:from>
    <xdr:to>
      <xdr:col>6</xdr:col>
      <xdr:colOff>209550</xdr:colOff>
      <xdr:row>45</xdr:row>
      <xdr:rowOff>5715</xdr:rowOff>
    </xdr:to>
    <xdr:sp macro="" textlink="">
      <xdr:nvSpPr>
        <xdr:cNvPr id="142" name="Oval 298"/>
        <xdr:cNvSpPr>
          <a:spLocks noChangeArrowheads="1"/>
        </xdr:cNvSpPr>
      </xdr:nvSpPr>
      <xdr:spPr bwMode="auto">
        <a:xfrm>
          <a:off x="2533650"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12</xdr:col>
      <xdr:colOff>20682</xdr:colOff>
      <xdr:row>44</xdr:row>
      <xdr:rowOff>20955</xdr:rowOff>
    </xdr:from>
    <xdr:to>
      <xdr:col>12</xdr:col>
      <xdr:colOff>211182</xdr:colOff>
      <xdr:row>45</xdr:row>
      <xdr:rowOff>5715</xdr:rowOff>
    </xdr:to>
    <xdr:sp macro="" textlink="">
      <xdr:nvSpPr>
        <xdr:cNvPr id="144" name="Oval 298"/>
        <xdr:cNvSpPr>
          <a:spLocks noChangeArrowheads="1"/>
        </xdr:cNvSpPr>
      </xdr:nvSpPr>
      <xdr:spPr bwMode="auto">
        <a:xfrm>
          <a:off x="5255622"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14</xdr:col>
      <xdr:colOff>21226</xdr:colOff>
      <xdr:row>44</xdr:row>
      <xdr:rowOff>20955</xdr:rowOff>
    </xdr:from>
    <xdr:to>
      <xdr:col>14</xdr:col>
      <xdr:colOff>211726</xdr:colOff>
      <xdr:row>45</xdr:row>
      <xdr:rowOff>5715</xdr:rowOff>
    </xdr:to>
    <xdr:sp macro="" textlink="">
      <xdr:nvSpPr>
        <xdr:cNvPr id="145" name="Oval 298"/>
        <xdr:cNvSpPr>
          <a:spLocks noChangeArrowheads="1"/>
        </xdr:cNvSpPr>
      </xdr:nvSpPr>
      <xdr:spPr bwMode="auto">
        <a:xfrm>
          <a:off x="6162946"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16</xdr:col>
      <xdr:colOff>21770</xdr:colOff>
      <xdr:row>44</xdr:row>
      <xdr:rowOff>20955</xdr:rowOff>
    </xdr:from>
    <xdr:to>
      <xdr:col>16</xdr:col>
      <xdr:colOff>212270</xdr:colOff>
      <xdr:row>45</xdr:row>
      <xdr:rowOff>5715</xdr:rowOff>
    </xdr:to>
    <xdr:sp macro="" textlink="">
      <xdr:nvSpPr>
        <xdr:cNvPr id="147" name="Oval 298"/>
        <xdr:cNvSpPr>
          <a:spLocks noChangeArrowheads="1"/>
        </xdr:cNvSpPr>
      </xdr:nvSpPr>
      <xdr:spPr bwMode="auto">
        <a:xfrm>
          <a:off x="7070270"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18</xdr:col>
      <xdr:colOff>22314</xdr:colOff>
      <xdr:row>44</xdr:row>
      <xdr:rowOff>20955</xdr:rowOff>
    </xdr:from>
    <xdr:to>
      <xdr:col>18</xdr:col>
      <xdr:colOff>212814</xdr:colOff>
      <xdr:row>45</xdr:row>
      <xdr:rowOff>5715</xdr:rowOff>
    </xdr:to>
    <xdr:sp macro="" textlink="">
      <xdr:nvSpPr>
        <xdr:cNvPr id="148" name="Oval 298"/>
        <xdr:cNvSpPr>
          <a:spLocks noChangeArrowheads="1"/>
        </xdr:cNvSpPr>
      </xdr:nvSpPr>
      <xdr:spPr bwMode="auto">
        <a:xfrm>
          <a:off x="7977594"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20</xdr:col>
      <xdr:colOff>22858</xdr:colOff>
      <xdr:row>44</xdr:row>
      <xdr:rowOff>20955</xdr:rowOff>
    </xdr:from>
    <xdr:to>
      <xdr:col>20</xdr:col>
      <xdr:colOff>213358</xdr:colOff>
      <xdr:row>45</xdr:row>
      <xdr:rowOff>5715</xdr:rowOff>
    </xdr:to>
    <xdr:sp macro="" textlink="">
      <xdr:nvSpPr>
        <xdr:cNvPr id="149" name="Oval 298"/>
        <xdr:cNvSpPr>
          <a:spLocks noChangeArrowheads="1"/>
        </xdr:cNvSpPr>
      </xdr:nvSpPr>
      <xdr:spPr bwMode="auto">
        <a:xfrm>
          <a:off x="8884918"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22</xdr:col>
      <xdr:colOff>23402</xdr:colOff>
      <xdr:row>44</xdr:row>
      <xdr:rowOff>20955</xdr:rowOff>
    </xdr:from>
    <xdr:to>
      <xdr:col>22</xdr:col>
      <xdr:colOff>213902</xdr:colOff>
      <xdr:row>45</xdr:row>
      <xdr:rowOff>5715</xdr:rowOff>
    </xdr:to>
    <xdr:sp macro="" textlink="">
      <xdr:nvSpPr>
        <xdr:cNvPr id="150" name="Oval 298"/>
        <xdr:cNvSpPr>
          <a:spLocks noChangeArrowheads="1"/>
        </xdr:cNvSpPr>
      </xdr:nvSpPr>
      <xdr:spPr bwMode="auto">
        <a:xfrm>
          <a:off x="9792242"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24</xdr:col>
      <xdr:colOff>23946</xdr:colOff>
      <xdr:row>44</xdr:row>
      <xdr:rowOff>20955</xdr:rowOff>
    </xdr:from>
    <xdr:to>
      <xdr:col>24</xdr:col>
      <xdr:colOff>214446</xdr:colOff>
      <xdr:row>45</xdr:row>
      <xdr:rowOff>5715</xdr:rowOff>
    </xdr:to>
    <xdr:sp macro="" textlink="">
      <xdr:nvSpPr>
        <xdr:cNvPr id="151" name="Oval 298"/>
        <xdr:cNvSpPr>
          <a:spLocks noChangeArrowheads="1"/>
        </xdr:cNvSpPr>
      </xdr:nvSpPr>
      <xdr:spPr bwMode="auto">
        <a:xfrm>
          <a:off x="10699566"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28</xdr:col>
      <xdr:colOff>25034</xdr:colOff>
      <xdr:row>44</xdr:row>
      <xdr:rowOff>20955</xdr:rowOff>
    </xdr:from>
    <xdr:to>
      <xdr:col>28</xdr:col>
      <xdr:colOff>215534</xdr:colOff>
      <xdr:row>45</xdr:row>
      <xdr:rowOff>5715</xdr:rowOff>
    </xdr:to>
    <xdr:sp macro="" textlink="">
      <xdr:nvSpPr>
        <xdr:cNvPr id="152" name="Oval 298"/>
        <xdr:cNvSpPr>
          <a:spLocks noChangeArrowheads="1"/>
        </xdr:cNvSpPr>
      </xdr:nvSpPr>
      <xdr:spPr bwMode="auto">
        <a:xfrm>
          <a:off x="12514214"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30</xdr:col>
      <xdr:colOff>25578</xdr:colOff>
      <xdr:row>44</xdr:row>
      <xdr:rowOff>20955</xdr:rowOff>
    </xdr:from>
    <xdr:to>
      <xdr:col>30</xdr:col>
      <xdr:colOff>216078</xdr:colOff>
      <xdr:row>45</xdr:row>
      <xdr:rowOff>5715</xdr:rowOff>
    </xdr:to>
    <xdr:sp macro="" textlink="">
      <xdr:nvSpPr>
        <xdr:cNvPr id="153" name="Oval 298"/>
        <xdr:cNvSpPr>
          <a:spLocks noChangeArrowheads="1"/>
        </xdr:cNvSpPr>
      </xdr:nvSpPr>
      <xdr:spPr bwMode="auto">
        <a:xfrm>
          <a:off x="13421538"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14</xdr:col>
      <xdr:colOff>19050</xdr:colOff>
      <xdr:row>22</xdr:row>
      <xdr:rowOff>22860</xdr:rowOff>
    </xdr:from>
    <xdr:to>
      <xdr:col>14</xdr:col>
      <xdr:colOff>209550</xdr:colOff>
      <xdr:row>23</xdr:row>
      <xdr:rowOff>7620</xdr:rowOff>
    </xdr:to>
    <xdr:sp macro="" textlink="">
      <xdr:nvSpPr>
        <xdr:cNvPr id="155" name="Oval 298"/>
        <xdr:cNvSpPr>
          <a:spLocks noChangeArrowheads="1"/>
        </xdr:cNvSpPr>
      </xdr:nvSpPr>
      <xdr:spPr bwMode="auto">
        <a:xfrm>
          <a:off x="6160770" y="5021580"/>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32</xdr:col>
      <xdr:colOff>22860</xdr:colOff>
      <xdr:row>27</xdr:row>
      <xdr:rowOff>26670</xdr:rowOff>
    </xdr:from>
    <xdr:to>
      <xdr:col>32</xdr:col>
      <xdr:colOff>213360</xdr:colOff>
      <xdr:row>28</xdr:row>
      <xdr:rowOff>11430</xdr:rowOff>
    </xdr:to>
    <xdr:sp macro="" textlink="">
      <xdr:nvSpPr>
        <xdr:cNvPr id="156" name="Oval 298"/>
        <xdr:cNvSpPr>
          <a:spLocks noChangeArrowheads="1"/>
        </xdr:cNvSpPr>
      </xdr:nvSpPr>
      <xdr:spPr bwMode="auto">
        <a:xfrm>
          <a:off x="14325600" y="6137910"/>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34</xdr:col>
      <xdr:colOff>22860</xdr:colOff>
      <xdr:row>27</xdr:row>
      <xdr:rowOff>26670</xdr:rowOff>
    </xdr:from>
    <xdr:to>
      <xdr:col>34</xdr:col>
      <xdr:colOff>213360</xdr:colOff>
      <xdr:row>28</xdr:row>
      <xdr:rowOff>11430</xdr:rowOff>
    </xdr:to>
    <xdr:sp macro="" textlink="">
      <xdr:nvSpPr>
        <xdr:cNvPr id="157" name="Oval 298"/>
        <xdr:cNvSpPr>
          <a:spLocks noChangeArrowheads="1"/>
        </xdr:cNvSpPr>
      </xdr:nvSpPr>
      <xdr:spPr bwMode="auto">
        <a:xfrm>
          <a:off x="15232380" y="6137910"/>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34</xdr:col>
      <xdr:colOff>25992</xdr:colOff>
      <xdr:row>32</xdr:row>
      <xdr:rowOff>20955</xdr:rowOff>
    </xdr:from>
    <xdr:to>
      <xdr:col>34</xdr:col>
      <xdr:colOff>216492</xdr:colOff>
      <xdr:row>33</xdr:row>
      <xdr:rowOff>5715</xdr:rowOff>
    </xdr:to>
    <xdr:sp macro="" textlink="">
      <xdr:nvSpPr>
        <xdr:cNvPr id="160" name="Oval 298"/>
        <xdr:cNvSpPr>
          <a:spLocks noChangeArrowheads="1"/>
        </xdr:cNvSpPr>
      </xdr:nvSpPr>
      <xdr:spPr bwMode="auto">
        <a:xfrm>
          <a:off x="15235512"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32</xdr:col>
      <xdr:colOff>25320</xdr:colOff>
      <xdr:row>32</xdr:row>
      <xdr:rowOff>20955</xdr:rowOff>
    </xdr:from>
    <xdr:to>
      <xdr:col>32</xdr:col>
      <xdr:colOff>215820</xdr:colOff>
      <xdr:row>33</xdr:row>
      <xdr:rowOff>5715</xdr:rowOff>
    </xdr:to>
    <xdr:sp macro="" textlink="">
      <xdr:nvSpPr>
        <xdr:cNvPr id="161" name="Oval 298"/>
        <xdr:cNvSpPr>
          <a:spLocks noChangeArrowheads="1"/>
        </xdr:cNvSpPr>
      </xdr:nvSpPr>
      <xdr:spPr bwMode="auto">
        <a:xfrm>
          <a:off x="14328060"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30</xdr:col>
      <xdr:colOff>24648</xdr:colOff>
      <xdr:row>32</xdr:row>
      <xdr:rowOff>20955</xdr:rowOff>
    </xdr:from>
    <xdr:to>
      <xdr:col>30</xdr:col>
      <xdr:colOff>215148</xdr:colOff>
      <xdr:row>33</xdr:row>
      <xdr:rowOff>5715</xdr:rowOff>
    </xdr:to>
    <xdr:sp macro="" textlink="">
      <xdr:nvSpPr>
        <xdr:cNvPr id="162" name="Oval 298"/>
        <xdr:cNvSpPr>
          <a:spLocks noChangeArrowheads="1"/>
        </xdr:cNvSpPr>
      </xdr:nvSpPr>
      <xdr:spPr bwMode="auto">
        <a:xfrm>
          <a:off x="13420608"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28</xdr:col>
      <xdr:colOff>23976</xdr:colOff>
      <xdr:row>32</xdr:row>
      <xdr:rowOff>20955</xdr:rowOff>
    </xdr:from>
    <xdr:to>
      <xdr:col>28</xdr:col>
      <xdr:colOff>214476</xdr:colOff>
      <xdr:row>33</xdr:row>
      <xdr:rowOff>5715</xdr:rowOff>
    </xdr:to>
    <xdr:sp macro="" textlink="">
      <xdr:nvSpPr>
        <xdr:cNvPr id="163" name="Oval 298"/>
        <xdr:cNvSpPr>
          <a:spLocks noChangeArrowheads="1"/>
        </xdr:cNvSpPr>
      </xdr:nvSpPr>
      <xdr:spPr bwMode="auto">
        <a:xfrm>
          <a:off x="12513156"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26</xdr:col>
      <xdr:colOff>23304</xdr:colOff>
      <xdr:row>32</xdr:row>
      <xdr:rowOff>20955</xdr:rowOff>
    </xdr:from>
    <xdr:to>
      <xdr:col>26</xdr:col>
      <xdr:colOff>213804</xdr:colOff>
      <xdr:row>33</xdr:row>
      <xdr:rowOff>5715</xdr:rowOff>
    </xdr:to>
    <xdr:sp macro="" textlink="">
      <xdr:nvSpPr>
        <xdr:cNvPr id="164" name="Oval 298"/>
        <xdr:cNvSpPr>
          <a:spLocks noChangeArrowheads="1"/>
        </xdr:cNvSpPr>
      </xdr:nvSpPr>
      <xdr:spPr bwMode="auto">
        <a:xfrm>
          <a:off x="11605704"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24</xdr:col>
      <xdr:colOff>22632</xdr:colOff>
      <xdr:row>32</xdr:row>
      <xdr:rowOff>20955</xdr:rowOff>
    </xdr:from>
    <xdr:to>
      <xdr:col>24</xdr:col>
      <xdr:colOff>213132</xdr:colOff>
      <xdr:row>33</xdr:row>
      <xdr:rowOff>5715</xdr:rowOff>
    </xdr:to>
    <xdr:sp macro="" textlink="">
      <xdr:nvSpPr>
        <xdr:cNvPr id="165" name="Oval 298"/>
        <xdr:cNvSpPr>
          <a:spLocks noChangeArrowheads="1"/>
        </xdr:cNvSpPr>
      </xdr:nvSpPr>
      <xdr:spPr bwMode="auto">
        <a:xfrm>
          <a:off x="10698252"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22</xdr:col>
      <xdr:colOff>21960</xdr:colOff>
      <xdr:row>32</xdr:row>
      <xdr:rowOff>20955</xdr:rowOff>
    </xdr:from>
    <xdr:to>
      <xdr:col>22</xdr:col>
      <xdr:colOff>212460</xdr:colOff>
      <xdr:row>33</xdr:row>
      <xdr:rowOff>5715</xdr:rowOff>
    </xdr:to>
    <xdr:sp macro="" textlink="">
      <xdr:nvSpPr>
        <xdr:cNvPr id="166" name="Oval 298"/>
        <xdr:cNvSpPr>
          <a:spLocks noChangeArrowheads="1"/>
        </xdr:cNvSpPr>
      </xdr:nvSpPr>
      <xdr:spPr bwMode="auto">
        <a:xfrm>
          <a:off x="9790800"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20</xdr:col>
      <xdr:colOff>21288</xdr:colOff>
      <xdr:row>32</xdr:row>
      <xdr:rowOff>20955</xdr:rowOff>
    </xdr:from>
    <xdr:to>
      <xdr:col>20</xdr:col>
      <xdr:colOff>211788</xdr:colOff>
      <xdr:row>33</xdr:row>
      <xdr:rowOff>5715</xdr:rowOff>
    </xdr:to>
    <xdr:sp macro="" textlink="">
      <xdr:nvSpPr>
        <xdr:cNvPr id="167" name="Oval 298"/>
        <xdr:cNvSpPr>
          <a:spLocks noChangeArrowheads="1"/>
        </xdr:cNvSpPr>
      </xdr:nvSpPr>
      <xdr:spPr bwMode="auto">
        <a:xfrm>
          <a:off x="8883348"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18</xdr:col>
      <xdr:colOff>20616</xdr:colOff>
      <xdr:row>32</xdr:row>
      <xdr:rowOff>20955</xdr:rowOff>
    </xdr:from>
    <xdr:to>
      <xdr:col>18</xdr:col>
      <xdr:colOff>211116</xdr:colOff>
      <xdr:row>33</xdr:row>
      <xdr:rowOff>5715</xdr:rowOff>
    </xdr:to>
    <xdr:sp macro="" textlink="">
      <xdr:nvSpPr>
        <xdr:cNvPr id="168" name="Oval 298"/>
        <xdr:cNvSpPr>
          <a:spLocks noChangeArrowheads="1"/>
        </xdr:cNvSpPr>
      </xdr:nvSpPr>
      <xdr:spPr bwMode="auto">
        <a:xfrm>
          <a:off x="7975896"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16</xdr:col>
      <xdr:colOff>19944</xdr:colOff>
      <xdr:row>32</xdr:row>
      <xdr:rowOff>20955</xdr:rowOff>
    </xdr:from>
    <xdr:to>
      <xdr:col>16</xdr:col>
      <xdr:colOff>210444</xdr:colOff>
      <xdr:row>33</xdr:row>
      <xdr:rowOff>5715</xdr:rowOff>
    </xdr:to>
    <xdr:sp macro="" textlink="">
      <xdr:nvSpPr>
        <xdr:cNvPr id="169" name="Oval 298"/>
        <xdr:cNvSpPr>
          <a:spLocks noChangeArrowheads="1"/>
        </xdr:cNvSpPr>
      </xdr:nvSpPr>
      <xdr:spPr bwMode="auto">
        <a:xfrm>
          <a:off x="7068444"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14</xdr:col>
      <xdr:colOff>19272</xdr:colOff>
      <xdr:row>32</xdr:row>
      <xdr:rowOff>20955</xdr:rowOff>
    </xdr:from>
    <xdr:to>
      <xdr:col>14</xdr:col>
      <xdr:colOff>209772</xdr:colOff>
      <xdr:row>33</xdr:row>
      <xdr:rowOff>5715</xdr:rowOff>
    </xdr:to>
    <xdr:sp macro="" textlink="">
      <xdr:nvSpPr>
        <xdr:cNvPr id="170" name="Oval 298"/>
        <xdr:cNvSpPr>
          <a:spLocks noChangeArrowheads="1"/>
        </xdr:cNvSpPr>
      </xdr:nvSpPr>
      <xdr:spPr bwMode="auto">
        <a:xfrm>
          <a:off x="6160992"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12</xdr:col>
      <xdr:colOff>18600</xdr:colOff>
      <xdr:row>32</xdr:row>
      <xdr:rowOff>20955</xdr:rowOff>
    </xdr:from>
    <xdr:to>
      <xdr:col>12</xdr:col>
      <xdr:colOff>209100</xdr:colOff>
      <xdr:row>33</xdr:row>
      <xdr:rowOff>5715</xdr:rowOff>
    </xdr:to>
    <xdr:sp macro="" textlink="">
      <xdr:nvSpPr>
        <xdr:cNvPr id="171" name="Oval 298"/>
        <xdr:cNvSpPr>
          <a:spLocks noChangeArrowheads="1"/>
        </xdr:cNvSpPr>
      </xdr:nvSpPr>
      <xdr:spPr bwMode="auto">
        <a:xfrm>
          <a:off x="5253540"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10</xdr:col>
      <xdr:colOff>17928</xdr:colOff>
      <xdr:row>32</xdr:row>
      <xdr:rowOff>20955</xdr:rowOff>
    </xdr:from>
    <xdr:to>
      <xdr:col>10</xdr:col>
      <xdr:colOff>208428</xdr:colOff>
      <xdr:row>33</xdr:row>
      <xdr:rowOff>5715</xdr:rowOff>
    </xdr:to>
    <xdr:sp macro="" textlink="">
      <xdr:nvSpPr>
        <xdr:cNvPr id="173" name="Oval 298"/>
        <xdr:cNvSpPr>
          <a:spLocks noChangeArrowheads="1"/>
        </xdr:cNvSpPr>
      </xdr:nvSpPr>
      <xdr:spPr bwMode="auto">
        <a:xfrm>
          <a:off x="4346088"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8</xdr:col>
      <xdr:colOff>17256</xdr:colOff>
      <xdr:row>32</xdr:row>
      <xdr:rowOff>20955</xdr:rowOff>
    </xdr:from>
    <xdr:to>
      <xdr:col>8</xdr:col>
      <xdr:colOff>207756</xdr:colOff>
      <xdr:row>33</xdr:row>
      <xdr:rowOff>5715</xdr:rowOff>
    </xdr:to>
    <xdr:sp macro="" textlink="">
      <xdr:nvSpPr>
        <xdr:cNvPr id="174" name="Oval 298"/>
        <xdr:cNvSpPr>
          <a:spLocks noChangeArrowheads="1"/>
        </xdr:cNvSpPr>
      </xdr:nvSpPr>
      <xdr:spPr bwMode="auto">
        <a:xfrm>
          <a:off x="3438636"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4</xdr:col>
      <xdr:colOff>15912</xdr:colOff>
      <xdr:row>32</xdr:row>
      <xdr:rowOff>20955</xdr:rowOff>
    </xdr:from>
    <xdr:to>
      <xdr:col>4</xdr:col>
      <xdr:colOff>206412</xdr:colOff>
      <xdr:row>33</xdr:row>
      <xdr:rowOff>5715</xdr:rowOff>
    </xdr:to>
    <xdr:sp macro="" textlink="">
      <xdr:nvSpPr>
        <xdr:cNvPr id="176" name="Oval 298"/>
        <xdr:cNvSpPr>
          <a:spLocks noChangeArrowheads="1"/>
        </xdr:cNvSpPr>
      </xdr:nvSpPr>
      <xdr:spPr bwMode="auto">
        <a:xfrm>
          <a:off x="1623732"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xdr:col>
      <xdr:colOff>15240</xdr:colOff>
      <xdr:row>32</xdr:row>
      <xdr:rowOff>20955</xdr:rowOff>
    </xdr:from>
    <xdr:to>
      <xdr:col>2</xdr:col>
      <xdr:colOff>205740</xdr:colOff>
      <xdr:row>33</xdr:row>
      <xdr:rowOff>5715</xdr:rowOff>
    </xdr:to>
    <xdr:sp macro="" textlink="">
      <xdr:nvSpPr>
        <xdr:cNvPr id="177" name="Oval 298"/>
        <xdr:cNvSpPr>
          <a:spLocks noChangeArrowheads="1"/>
        </xdr:cNvSpPr>
      </xdr:nvSpPr>
      <xdr:spPr bwMode="auto">
        <a:xfrm>
          <a:off x="716280"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14</xdr:col>
      <xdr:colOff>22860</xdr:colOff>
      <xdr:row>39</xdr:row>
      <xdr:rowOff>20955</xdr:rowOff>
    </xdr:from>
    <xdr:to>
      <xdr:col>14</xdr:col>
      <xdr:colOff>213360</xdr:colOff>
      <xdr:row>40</xdr:row>
      <xdr:rowOff>5715</xdr:rowOff>
    </xdr:to>
    <xdr:sp macro="" textlink="">
      <xdr:nvSpPr>
        <xdr:cNvPr id="178" name="Oval 298"/>
        <xdr:cNvSpPr>
          <a:spLocks noChangeArrowheads="1"/>
        </xdr:cNvSpPr>
      </xdr:nvSpPr>
      <xdr:spPr bwMode="auto">
        <a:xfrm>
          <a:off x="6164580" y="86467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26</xdr:col>
      <xdr:colOff>24490</xdr:colOff>
      <xdr:row>44</xdr:row>
      <xdr:rowOff>20955</xdr:rowOff>
    </xdr:from>
    <xdr:to>
      <xdr:col>26</xdr:col>
      <xdr:colOff>214990</xdr:colOff>
      <xdr:row>45</xdr:row>
      <xdr:rowOff>5715</xdr:rowOff>
    </xdr:to>
    <xdr:sp macro="" textlink="">
      <xdr:nvSpPr>
        <xdr:cNvPr id="179" name="Oval 298"/>
        <xdr:cNvSpPr>
          <a:spLocks noChangeArrowheads="1"/>
        </xdr:cNvSpPr>
      </xdr:nvSpPr>
      <xdr:spPr bwMode="auto">
        <a:xfrm>
          <a:off x="11606890"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editAs="oneCell">
    <xdr:from>
      <xdr:col>5</xdr:col>
      <xdr:colOff>325120</xdr:colOff>
      <xdr:row>6</xdr:row>
      <xdr:rowOff>51435</xdr:rowOff>
    </xdr:from>
    <xdr:to>
      <xdr:col>8</xdr:col>
      <xdr:colOff>235585</xdr:colOff>
      <xdr:row>11</xdr:row>
      <xdr:rowOff>114300</xdr:rowOff>
    </xdr:to>
    <xdr:pic>
      <xdr:nvPicPr>
        <xdr:cNvPr id="46" name="Grafik 45" descr="qrcode(5).png"/>
        <xdr:cNvPicPr>
          <a:picLocks noChangeAspect="1"/>
        </xdr:cNvPicPr>
      </xdr:nvPicPr>
      <xdr:blipFill>
        <a:blip xmlns:r="http://schemas.openxmlformats.org/officeDocument/2006/relationships" r:embed="rId1" cstate="print"/>
        <a:stretch>
          <a:fillRect/>
        </a:stretch>
      </xdr:blipFill>
      <xdr:spPr>
        <a:xfrm>
          <a:off x="2458720" y="1423035"/>
          <a:ext cx="1224915" cy="1224915"/>
        </a:xfrm>
        <a:prstGeom prst="rect">
          <a:avLst/>
        </a:prstGeom>
        <a:noFill/>
        <a:ln>
          <a:noFill/>
        </a:ln>
      </xdr:spPr>
    </xdr:pic>
    <xdr:clientData/>
  </xdr:twoCellAnchor>
  <xdr:twoCellAnchor>
    <xdr:from>
      <xdr:col>36</xdr:col>
      <xdr:colOff>22860</xdr:colOff>
      <xdr:row>27</xdr:row>
      <xdr:rowOff>26670</xdr:rowOff>
    </xdr:from>
    <xdr:to>
      <xdr:col>36</xdr:col>
      <xdr:colOff>213360</xdr:colOff>
      <xdr:row>28</xdr:row>
      <xdr:rowOff>11430</xdr:rowOff>
    </xdr:to>
    <xdr:sp macro="" textlink="">
      <xdr:nvSpPr>
        <xdr:cNvPr id="47" name="Oval 298"/>
        <xdr:cNvSpPr>
          <a:spLocks noChangeArrowheads="1"/>
        </xdr:cNvSpPr>
      </xdr:nvSpPr>
      <xdr:spPr bwMode="auto">
        <a:xfrm>
          <a:off x="16139160" y="6137910"/>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36</xdr:col>
      <xdr:colOff>26670</xdr:colOff>
      <xdr:row>32</xdr:row>
      <xdr:rowOff>20955</xdr:rowOff>
    </xdr:from>
    <xdr:to>
      <xdr:col>36</xdr:col>
      <xdr:colOff>217170</xdr:colOff>
      <xdr:row>33</xdr:row>
      <xdr:rowOff>5715</xdr:rowOff>
    </xdr:to>
    <xdr:sp macro="" textlink="">
      <xdr:nvSpPr>
        <xdr:cNvPr id="48" name="Oval 298"/>
        <xdr:cNvSpPr>
          <a:spLocks noChangeArrowheads="1"/>
        </xdr:cNvSpPr>
      </xdr:nvSpPr>
      <xdr:spPr bwMode="auto">
        <a:xfrm>
          <a:off x="16142970" y="723709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34</xdr:col>
      <xdr:colOff>26670</xdr:colOff>
      <xdr:row>44</xdr:row>
      <xdr:rowOff>20955</xdr:rowOff>
    </xdr:from>
    <xdr:to>
      <xdr:col>34</xdr:col>
      <xdr:colOff>217170</xdr:colOff>
      <xdr:row>45</xdr:row>
      <xdr:rowOff>5715</xdr:rowOff>
    </xdr:to>
    <xdr:sp macro="" textlink="">
      <xdr:nvSpPr>
        <xdr:cNvPr id="50" name="Oval 298"/>
        <xdr:cNvSpPr>
          <a:spLocks noChangeArrowheads="1"/>
        </xdr:cNvSpPr>
      </xdr:nvSpPr>
      <xdr:spPr bwMode="auto">
        <a:xfrm>
          <a:off x="15236190"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18</xdr:col>
      <xdr:colOff>419100</xdr:colOff>
      <xdr:row>9</xdr:row>
      <xdr:rowOff>129540</xdr:rowOff>
    </xdr:from>
    <xdr:to>
      <xdr:col>19</xdr:col>
      <xdr:colOff>99060</xdr:colOff>
      <xdr:row>10</xdr:row>
      <xdr:rowOff>152400</xdr:rowOff>
    </xdr:to>
    <xdr:sp macro="" textlink="">
      <xdr:nvSpPr>
        <xdr:cNvPr id="97" name="Oval 298"/>
        <xdr:cNvSpPr>
          <a:spLocks noChangeArrowheads="1"/>
        </xdr:cNvSpPr>
      </xdr:nvSpPr>
      <xdr:spPr bwMode="auto">
        <a:xfrm>
          <a:off x="8374380" y="2362200"/>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twoCellAnchor>
    <xdr:from>
      <xdr:col>32</xdr:col>
      <xdr:colOff>26122</xdr:colOff>
      <xdr:row>44</xdr:row>
      <xdr:rowOff>20955</xdr:rowOff>
    </xdr:from>
    <xdr:to>
      <xdr:col>32</xdr:col>
      <xdr:colOff>216622</xdr:colOff>
      <xdr:row>45</xdr:row>
      <xdr:rowOff>5715</xdr:rowOff>
    </xdr:to>
    <xdr:sp macro="" textlink="">
      <xdr:nvSpPr>
        <xdr:cNvPr id="96" name="Oval 298"/>
        <xdr:cNvSpPr>
          <a:spLocks noChangeArrowheads="1"/>
        </xdr:cNvSpPr>
      </xdr:nvSpPr>
      <xdr:spPr bwMode="auto">
        <a:xfrm>
          <a:off x="14328862" y="9705975"/>
          <a:ext cx="190500" cy="213360"/>
        </a:xfrm>
        <a:prstGeom prst="ellipse">
          <a:avLst/>
        </a:prstGeom>
        <a:solidFill>
          <a:srgbClr val="FFFF00"/>
        </a:solidFill>
        <a:ln w="6350">
          <a:solidFill>
            <a:srgbClr val="000000"/>
          </a:solidFill>
          <a:round/>
          <a:headEnd/>
          <a:tailEnd/>
        </a:ln>
      </xdr:spPr>
      <xdr:txBody>
        <a:bodyPr anchor="ctr"/>
        <a:lstStyle/>
        <a:p>
          <a:pPr algn="ctr"/>
          <a:r>
            <a:rPr lang="de-DE" sz="1600"/>
            <a:t>☢</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Tabelle1"/>
  <dimension ref="A1:AS125"/>
  <sheetViews>
    <sheetView workbookViewId="0">
      <selection activeCell="D75" sqref="D75"/>
    </sheetView>
  </sheetViews>
  <sheetFormatPr baseColWidth="10" defaultRowHeight="18" customHeight="1"/>
  <cols>
    <col min="1" max="1" width="13.375" bestFit="1" customWidth="1"/>
    <col min="2" max="2" width="7.25" bestFit="1" customWidth="1"/>
    <col min="3" max="3" width="12.5" bestFit="1" customWidth="1"/>
    <col min="4" max="4" width="10.875" bestFit="1" customWidth="1"/>
    <col min="5" max="5" width="3.875" bestFit="1" customWidth="1"/>
    <col min="6" max="6" width="7.5" bestFit="1" customWidth="1"/>
    <col min="7" max="7" width="10.625" customWidth="1"/>
    <col min="8" max="8" width="12.625" customWidth="1"/>
    <col min="9" max="9" width="19.375" bestFit="1" customWidth="1"/>
    <col min="10" max="10" width="11.125" bestFit="1" customWidth="1"/>
    <col min="11" max="11" width="11.375" bestFit="1" customWidth="1"/>
    <col min="12" max="12" width="7.5" bestFit="1" customWidth="1"/>
    <col min="13" max="13" width="9.125" style="30" customWidth="1"/>
    <col min="15" max="15" width="19.5" style="30" bestFit="1" customWidth="1"/>
    <col min="16" max="16" width="12.125" customWidth="1"/>
    <col min="17" max="17" width="19.5" style="30" bestFit="1" customWidth="1"/>
    <col min="18" max="18" width="22.125" bestFit="1" customWidth="1"/>
    <col min="19" max="19" width="8.875" bestFit="1" customWidth="1"/>
    <col min="20" max="20" width="22.625" bestFit="1" customWidth="1"/>
    <col min="21" max="21" width="6.625" customWidth="1"/>
    <col min="22" max="23" width="12.5" bestFit="1" customWidth="1"/>
    <col min="24" max="24" width="9.875" bestFit="1" customWidth="1"/>
    <col min="25" max="25" width="13.25" bestFit="1" customWidth="1"/>
    <col min="26" max="26" width="17.5" style="36" bestFit="1" customWidth="1"/>
    <col min="27" max="27" width="12" bestFit="1" customWidth="1"/>
    <col min="28" max="28" width="50.625" customWidth="1"/>
    <col min="29" max="29" width="11.125" customWidth="1"/>
    <col min="30" max="30" width="18.375" style="7" bestFit="1" customWidth="1"/>
    <col min="31" max="31" width="10.875" bestFit="1" customWidth="1"/>
    <col min="32" max="32" width="12.5" bestFit="1" customWidth="1"/>
    <col min="33" max="33" width="12.25" bestFit="1" customWidth="1"/>
    <col min="34" max="34" width="16.25" bestFit="1" customWidth="1"/>
    <col min="35" max="35" width="14.25" bestFit="1" customWidth="1"/>
    <col min="36" max="36" width="9.5" bestFit="1" customWidth="1"/>
    <col min="37" max="37" width="14.25" bestFit="1" customWidth="1"/>
    <col min="38" max="38" width="4.375" bestFit="1" customWidth="1"/>
    <col min="39" max="39" width="9.75" bestFit="1" customWidth="1"/>
    <col min="40" max="42" width="50.625" customWidth="1"/>
    <col min="43" max="43" width="50.625" style="31" customWidth="1"/>
    <col min="44" max="44" width="12.25" customWidth="1"/>
  </cols>
  <sheetData>
    <row r="1" spans="1:45" s="8" customFormat="1" ht="18" customHeight="1">
      <c r="A1" s="8" t="s">
        <v>862</v>
      </c>
      <c r="B1" s="8" t="s">
        <v>863</v>
      </c>
      <c r="C1" s="8" t="s">
        <v>864</v>
      </c>
      <c r="D1" s="8" t="s">
        <v>865</v>
      </c>
      <c r="E1" s="8" t="s">
        <v>866</v>
      </c>
      <c r="F1" s="8" t="s">
        <v>867</v>
      </c>
      <c r="G1" s="8" t="s">
        <v>868</v>
      </c>
      <c r="H1" s="8" t="s">
        <v>869</v>
      </c>
      <c r="I1" s="8" t="s">
        <v>168</v>
      </c>
      <c r="J1" s="8" t="s">
        <v>169</v>
      </c>
      <c r="K1" s="8" t="s">
        <v>170</v>
      </c>
      <c r="L1" s="8" t="s">
        <v>870</v>
      </c>
      <c r="M1" s="8" t="s">
        <v>153</v>
      </c>
      <c r="N1" s="30" t="s">
        <v>240</v>
      </c>
      <c r="O1" s="8" t="s">
        <v>154</v>
      </c>
      <c r="P1" s="30" t="s">
        <v>241</v>
      </c>
      <c r="Q1" s="8" t="s">
        <v>155</v>
      </c>
      <c r="R1" s="30" t="s">
        <v>242</v>
      </c>
      <c r="S1" s="8" t="s">
        <v>157</v>
      </c>
      <c r="T1" s="8" t="s">
        <v>156</v>
      </c>
      <c r="U1" s="8" t="s">
        <v>599</v>
      </c>
      <c r="V1" s="8" t="s">
        <v>703</v>
      </c>
      <c r="W1" s="8" t="s">
        <v>807</v>
      </c>
      <c r="X1" s="8" t="s">
        <v>808</v>
      </c>
      <c r="Y1" s="8" t="s">
        <v>809</v>
      </c>
      <c r="Z1" s="8" t="s">
        <v>133</v>
      </c>
      <c r="AA1" s="33" t="s">
        <v>132</v>
      </c>
      <c r="AB1" s="8" t="s">
        <v>158</v>
      </c>
      <c r="AC1" s="8" t="s">
        <v>7</v>
      </c>
      <c r="AD1" s="8" t="s">
        <v>1024</v>
      </c>
      <c r="AE1" s="9" t="s">
        <v>813</v>
      </c>
      <c r="AF1" s="8" t="s">
        <v>815</v>
      </c>
      <c r="AG1" s="8" t="s">
        <v>816</v>
      </c>
      <c r="AH1" s="8" t="s">
        <v>160</v>
      </c>
      <c r="AI1" s="8" t="s">
        <v>159</v>
      </c>
      <c r="AJ1" s="8" t="s">
        <v>966</v>
      </c>
      <c r="AK1" s="8" t="s">
        <v>161</v>
      </c>
      <c r="AL1" s="8" t="s">
        <v>162</v>
      </c>
      <c r="AM1" s="8" t="s">
        <v>239</v>
      </c>
      <c r="AN1" s="8" t="s">
        <v>1040</v>
      </c>
      <c r="AO1" s="8" t="s">
        <v>164</v>
      </c>
      <c r="AP1" s="8" t="s">
        <v>165</v>
      </c>
      <c r="AQ1" s="8" t="s">
        <v>166</v>
      </c>
      <c r="AR1" s="32" t="s">
        <v>163</v>
      </c>
    </row>
    <row r="2" spans="1:45" ht="18" customHeight="1">
      <c r="A2">
        <v>1</v>
      </c>
      <c r="B2" t="s">
        <v>871</v>
      </c>
      <c r="C2" t="s">
        <v>872</v>
      </c>
      <c r="D2">
        <v>1.008</v>
      </c>
      <c r="E2">
        <v>2.1</v>
      </c>
      <c r="F2" s="36" t="s">
        <v>1169</v>
      </c>
      <c r="G2" s="54" t="s">
        <v>484</v>
      </c>
      <c r="H2" s="42" t="s">
        <v>1244</v>
      </c>
      <c r="I2">
        <v>1766</v>
      </c>
      <c r="J2" t="s">
        <v>192</v>
      </c>
      <c r="K2" t="s">
        <v>873</v>
      </c>
      <c r="L2">
        <v>21</v>
      </c>
      <c r="M2" s="56" t="s">
        <v>1255</v>
      </c>
      <c r="N2" s="30">
        <v>1312.06</v>
      </c>
      <c r="O2">
        <v>218</v>
      </c>
      <c r="P2" s="30" t="s">
        <v>874</v>
      </c>
      <c r="Q2">
        <v>0</v>
      </c>
      <c r="R2" s="30" t="s">
        <v>874</v>
      </c>
      <c r="S2" t="s">
        <v>875</v>
      </c>
      <c r="T2" t="s">
        <v>876</v>
      </c>
      <c r="U2" t="s">
        <v>601</v>
      </c>
      <c r="V2" t="s">
        <v>710</v>
      </c>
      <c r="W2" t="str">
        <f>W3</f>
        <v>Wasserstoff</v>
      </c>
      <c r="X2" t="str">
        <f t="shared" ref="X2:X33" si="0">C3</f>
        <v>Helium</v>
      </c>
      <c r="Y2" t="s">
        <v>810</v>
      </c>
      <c r="Z2" s="16" t="s">
        <v>827</v>
      </c>
      <c r="AA2" s="35" t="s">
        <v>953</v>
      </c>
      <c r="AB2" s="29"/>
      <c r="AC2" s="27" t="s">
        <v>967</v>
      </c>
      <c r="AD2" s="27" t="str">
        <f>CONCATENATE("&lt;b&gt;{{PAGENAME}}&lt;/b&gt; ist das chemische Symbol für das [[PSE|Element]] &lt;b&gt;&amp;rarr; [[",C2,"]]&lt;/b&gt;, von lat./griech. ",AA2,", Wassererzeuger.")</f>
        <v>&lt;b&gt;{{PAGENAME}}&lt;/b&gt; ist das chemische Symbol für das [[PSE|Element]] &lt;b&gt;&amp;rarr; [[Wasserstoff]]&lt;/b&gt;, von lat./griech. &lt;b&gt;&lt;i&gt;H&lt;/b&gt;ydrogenium&lt;/i&gt;, Wassererzeuger.</v>
      </c>
      <c r="AE2" s="7"/>
      <c r="AF2" t="str">
        <f>C2</f>
        <v>Wasserstoff</v>
      </c>
      <c r="AG2" t="s">
        <v>881</v>
      </c>
      <c r="AJ2" t="str">
        <f>CONCATENATE(" wurde ",I2," in ",K2," durch ",J2," entdeckt.")</f>
        <v xml:space="preserve"> wurde 1766 in England durch Boyle, Cavendish entdeckt.</v>
      </c>
      <c r="AM2" t="str">
        <f>CONCATENATE("00",A2,)</f>
        <v>001</v>
      </c>
      <c r="AN2" t="s">
        <v>1041</v>
      </c>
      <c r="AO2" s="27" t="e">
        <f>CONCATENATE("{{Element|Ordnungszahl=",A2,"|Symbol=",B2,"|Name=",C2,"|Atommasse=",#REF!,"|EN=",E2,"|BP=",F2,"|MP=",G2,"|Dichte=",H2,"|Ionenradius=",L2,"|Ivolt=",N2,"|Aradius=",M2)</f>
        <v>#REF!</v>
      </c>
      <c r="AP2" s="27" t="str">
        <f>CONCATENATE("|Enthalpie=",O2,"|IVolt2=",P2,"|Wert=",Q2,"|IVolt3=",R2,"|Farbe=",S2,"|Flamme=",T2,"|Elektronenkonfiguration=",U2,"|EK-Wiki=",V2,"|pre=",W2,"|next=",X2,"|Metall=",Y2,"|E-Name=",Z2,"|L-Name=",AA2)</f>
        <v>|Enthalpie=218|IVolt2=-|Wert=0|IVolt3=-|Farbe=farblos|Flamme=rot|Elektronenkonfiguration=1s1|EK-Wiki=1s&lt;sup&gt;1&lt;/sup&gt;|pre=Wasserstoff|next=Helium|Metall=Nichtmetall|E-Name=Hydrogen|L-Name=&lt;b&gt;&lt;i&gt;H&lt;/b&gt;ydrogenium&lt;/i&gt;</v>
      </c>
      <c r="AQ2" s="27" t="str">
        <f>CONCATENATE("|Verwendung=",AB2,"|Wortherkunft=",AC2,"|L-Abk. bzw. redirect=",AD2,"|radioaktiv=",AE2,"|hoch=",AF2,"|runter=",AG2,"|Bild-Element=",AH2,"|Bild-Verwendung=",AI2,"|www=",AJ2,"|E-Gruppe=",AK2,"|Sonstiges-kurz=",AL2,"|OZ3=",AM2,"|WL=",AN2,"|Text= }}
[[Kategorie:Chemie]][[Kategorie:Chemikalien]]")</f>
        <v>|Verwendung=|Wortherkunft=Die lat./griech. Elementbezeichnung Hydrogenium bedeutet "[[Wasser]]-Bildner", siehe [[Knallgasreaktion]].|L-Abk. bzw. redirect=&lt;b&gt;{{PAGENAME}}&lt;/b&gt; ist das chemische Symbol für das [[PSE|Element]] &lt;b&gt;&amp;rarr; [[Wasserstoff]]&lt;/b&gt;, von lat./griech. &lt;b&gt;&lt;i&gt;H&lt;/b&gt;ydrogenium&lt;/i&gt;, Wassererzeuger.|radioaktiv=|hoch=Wasserstoff|runter=Lithium|Bild-Element=|Bild-Verwendung=|www= wurde 1766 in England durch Boyle, Cavendish entdeckt.|E-Gruppe=|Sonstiges-kurz=|OZ3=001|WL=Sammlung|Text= }}
[[Kategorie:Chemie]][[Kategorie:Chemikalien]]</v>
      </c>
      <c r="AR2" s="31" t="e">
        <f t="shared" ref="AR2:AR40" si="1">CONCATENATE(AO2,AP2,AQ2)</f>
        <v>#REF!</v>
      </c>
    </row>
    <row r="3" spans="1:45" ht="18" customHeight="1">
      <c r="A3">
        <v>2</v>
      </c>
      <c r="B3" t="s">
        <v>877</v>
      </c>
      <c r="C3" t="s">
        <v>878</v>
      </c>
      <c r="D3">
        <v>4.0030000000000001</v>
      </c>
      <c r="E3">
        <v>0</v>
      </c>
      <c r="F3" s="36" t="s">
        <v>485</v>
      </c>
      <c r="G3" s="54" t="s">
        <v>1067</v>
      </c>
      <c r="H3" s="42" t="s">
        <v>1245</v>
      </c>
      <c r="I3">
        <v>1895</v>
      </c>
      <c r="J3" t="s">
        <v>193</v>
      </c>
      <c r="K3" t="s">
        <v>879</v>
      </c>
      <c r="L3" t="s">
        <v>874</v>
      </c>
      <c r="M3" s="56" t="s">
        <v>1256</v>
      </c>
      <c r="N3" s="30">
        <v>2372.34</v>
      </c>
      <c r="O3">
        <v>0</v>
      </c>
      <c r="P3" s="30">
        <v>5250.56</v>
      </c>
      <c r="Q3" t="s">
        <v>874</v>
      </c>
      <c r="R3" s="30" t="s">
        <v>874</v>
      </c>
      <c r="S3" t="s">
        <v>875</v>
      </c>
      <c r="U3" t="s">
        <v>600</v>
      </c>
      <c r="V3" t="s">
        <v>711</v>
      </c>
      <c r="W3" t="str">
        <f>C2</f>
        <v>Wasserstoff</v>
      </c>
      <c r="X3" t="str">
        <f t="shared" si="0"/>
        <v>Lithium</v>
      </c>
      <c r="Y3" t="s">
        <v>810</v>
      </c>
      <c r="Z3" s="16" t="s">
        <v>878</v>
      </c>
      <c r="AA3" s="35"/>
      <c r="AB3" s="16"/>
      <c r="AC3" s="27" t="s">
        <v>968</v>
      </c>
      <c r="AD3" s="27" t="str">
        <f>CONCATENATE("#REDIRECT [[",C3,"]]")</f>
        <v>#REDIRECT [[Helium]]</v>
      </c>
      <c r="AE3" s="7"/>
      <c r="AF3" t="str">
        <f>C3</f>
        <v>Helium</v>
      </c>
      <c r="AG3" t="s">
        <v>907</v>
      </c>
      <c r="AJ3" t="str">
        <f t="shared" ref="AJ3:AJ66" si="2">CONCATENATE(" wurde ",I3," in ",K3," durch ",J3," entdeckt.")</f>
        <v xml:space="preserve"> wurde 1895 in Schottland durch Ramsay entdeckt.</v>
      </c>
      <c r="AM3" t="str">
        <f t="shared" ref="AM3:AM10" si="3">CONCATENATE("00",A3,)</f>
        <v>002</v>
      </c>
      <c r="AN3" t="s">
        <v>1041</v>
      </c>
      <c r="AO3" s="27" t="e">
        <f>CONCATENATE("{{Element|Ordnungszahl=",A3,"|Symbol=",B3,"|Name=",C3,"|Atommasse=",#REF!,"|EN=",E3,"|BP=",F3,"|MP=",G3,"|Dichte=",H3,"|Ionenradius=",L3,"|Ivolt=",N3,"|Aradius=",M3)</f>
        <v>#REF!</v>
      </c>
      <c r="AP3" s="27" t="str">
        <f t="shared" ref="AP3:AP66" si="4">CONCATENATE("|Enthalpie=",O3,"|IVolt2=",P3,"|Wert=",Q3,"|IVolt3=",R3,"|Farbe=",S3,"|Flamme=",T3,"|Elektronenkonfiguration=",U3,"|EK-Wiki=",V3,"|pre=",W3,"|next=",X3,"|Metall=",Y3,"|E-Name=",Z3,"|L-Name=",AA3)</f>
        <v>|Enthalpie=0|IVolt2=5250,56|Wert=-|IVolt3=-|Farbe=farblos|Flamme=|Elektronenkonfiguration=1s2|EK-Wiki=1s&lt;sup&gt;2&lt;/sup&gt;|pre=Wasserstoff|next=Lithium|Metall=Nichtmetall|E-Name=Helium|L-Name=</v>
      </c>
      <c r="AQ3" s="27" t="str">
        <f t="shared" ref="AQ3:AQ66" si="5">CONCATENATE("|Verwendung=",AB3,"|Wortherkunft=",AC3,"|L-Abk. bzw. redirect=",AD3,"|radioaktiv=",AE3,"|hoch=",AF3,"|runter=",AG3,"|Bild-Element=",AH3,"|Bild-Verwendung=",AI3,"|www=",AJ3,"|E-Gruppe=",AK3,"|Sonstiges-kurz=",AL3,"|OZ3=",AM3,"|WL=",AN3,"|Text= }}
[[Kategorie:Chemie]][[Kategorie:Chemikalien]]")</f>
        <v>|Verwendung=|Wortherkunft=Der Name Helium leitet sich von griech. ''Helios'' = Sonne ab, denn es wurde erstmals aufgrund seiner Spektrallinien im Licht der Sonne nachgewiesen.|L-Abk. bzw. redirect=#REDIRECT [[Helium]]|radioaktiv=|hoch=Helium|runter=Neon|Bild-Element=|Bild-Verwendung=|www= wurde 1895 in Schottland durch Ramsay entdeckt.|E-Gruppe=|Sonstiges-kurz=|OZ3=002|WL=Sammlung|Text= }}
[[Kategorie:Chemie]][[Kategorie:Chemikalien]]</v>
      </c>
      <c r="AR3" s="31" t="e">
        <f t="shared" si="1"/>
        <v>#REF!</v>
      </c>
      <c r="AS3" t="str">
        <f t="shared" ref="AS3:AS34" si="6">CONCATENATE(AJ3," http://www.webelements.com/webelements/elements/media/element-pics/",B3,".jpg")</f>
        <v xml:space="preserve"> wurde 1895 in Schottland durch Ramsay entdeckt. http://www.webelements.com/webelements/elements/media/element-pics/He.jpg</v>
      </c>
    </row>
    <row r="4" spans="1:45" ht="18" customHeight="1">
      <c r="A4">
        <v>3</v>
      </c>
      <c r="B4" t="s">
        <v>880</v>
      </c>
      <c r="C4" t="s">
        <v>881</v>
      </c>
      <c r="D4">
        <v>6.94</v>
      </c>
      <c r="E4">
        <v>1</v>
      </c>
      <c r="F4" s="36" t="s">
        <v>1074</v>
      </c>
      <c r="G4" s="54" t="s">
        <v>1112</v>
      </c>
      <c r="H4" s="42" t="s">
        <v>1215</v>
      </c>
      <c r="I4">
        <v>1817</v>
      </c>
      <c r="J4" t="s">
        <v>194</v>
      </c>
      <c r="K4" t="s">
        <v>882</v>
      </c>
      <c r="L4">
        <v>78</v>
      </c>
      <c r="M4" s="56" t="s">
        <v>1257</v>
      </c>
      <c r="N4" s="30">
        <v>520.23</v>
      </c>
      <c r="O4" t="s">
        <v>883</v>
      </c>
      <c r="P4" s="30">
        <v>7298.22</v>
      </c>
      <c r="Q4">
        <v>1</v>
      </c>
      <c r="R4" s="30">
        <v>11815.13</v>
      </c>
      <c r="S4" t="s">
        <v>1035</v>
      </c>
      <c r="T4" t="s">
        <v>876</v>
      </c>
      <c r="U4" t="s">
        <v>602</v>
      </c>
      <c r="V4" t="s">
        <v>704</v>
      </c>
      <c r="W4" t="str">
        <f t="shared" ref="W4:W67" si="7">C3</f>
        <v>Helium</v>
      </c>
      <c r="X4" t="str">
        <f t="shared" si="0"/>
        <v>Beryllium</v>
      </c>
      <c r="Y4" t="s">
        <v>809</v>
      </c>
      <c r="Z4" s="16" t="s">
        <v>881</v>
      </c>
      <c r="AA4" s="35"/>
      <c r="AB4" s="16"/>
      <c r="AC4" s="27" t="s">
        <v>1018</v>
      </c>
      <c r="AD4" s="27" t="str">
        <f>CONCATENATE("#REDIRECT [[",C4,"]]")</f>
        <v>#REDIRECT [[Lithium]]</v>
      </c>
      <c r="AE4" s="7"/>
      <c r="AF4" t="str">
        <f>C2</f>
        <v>Wasserstoff</v>
      </c>
      <c r="AG4" t="s">
        <v>909</v>
      </c>
      <c r="AJ4" t="str">
        <f t="shared" si="2"/>
        <v xml:space="preserve"> wurde 1817 in Schweden durch Arfvedson entdeckt.</v>
      </c>
      <c r="AM4" t="str">
        <f t="shared" si="3"/>
        <v>003</v>
      </c>
      <c r="AN4" t="s">
        <v>1041</v>
      </c>
      <c r="AO4" s="27" t="e">
        <f>CONCATENATE("{{Element|Ordnungszahl=",A4,"|Symbol=",B4,"|Name=",C4,"|Atommasse=",#REF!,"|EN=",E4,"|BP=",F4,"|MP=",G4,"|Dichte=",H4,"|Ionenradius=",L4,"|Ivolt=",N4,"|Aradius=",M4)</f>
        <v>#REF!</v>
      </c>
      <c r="AP4" s="27" t="str">
        <f t="shared" si="4"/>
        <v>|Enthalpie=159.4|IVolt2=7298,22|Wert=1|IVolt3=11815,13|Farbe=silbrig-weiß|Flamme=rot|Elektronenkonfiguration=[He] 2s1|EK-Wiki=[He] 2s&lt;sup&gt;1&lt;/sup&gt;|pre=Helium|next=Beryllium|Metall=Metall|E-Name=Lithium|L-Name=</v>
      </c>
      <c r="AQ4" s="27" t="str">
        <f t="shared" si="5"/>
        <v>|Verwendung=|Wortherkunft=Der Name stammt vom altgriechischen Wort ''lithos'' = Stein, da Lithium zuerst im Gestein nachgewiesen wurde).|L-Abk. bzw. redirect=#REDIRECT [[Lithium]]|radioaktiv=|hoch=Wasserstoff|runter=Natrium|Bild-Element=|Bild-Verwendung=|www= wurde 1817 in Schweden durch Arfvedson entdeckt.|E-Gruppe=|Sonstiges-kurz=|OZ3=003|WL=Sammlung|Text= }}
[[Kategorie:Chemie]][[Kategorie:Chemikalien]]</v>
      </c>
      <c r="AR4" s="31" t="e">
        <f t="shared" si="1"/>
        <v>#REF!</v>
      </c>
      <c r="AS4" t="str">
        <f t="shared" si="6"/>
        <v xml:space="preserve"> wurde 1817 in Schweden durch Arfvedson entdeckt. http://www.webelements.com/webelements/elements/media/element-pics/Li.jpg</v>
      </c>
    </row>
    <row r="5" spans="1:45" ht="18" customHeight="1">
      <c r="A5">
        <v>4</v>
      </c>
      <c r="B5" t="s">
        <v>884</v>
      </c>
      <c r="C5" t="s">
        <v>885</v>
      </c>
      <c r="D5">
        <v>9.0120000000000005</v>
      </c>
      <c r="E5">
        <v>1.5</v>
      </c>
      <c r="F5" s="36" t="s">
        <v>1170</v>
      </c>
      <c r="G5" s="54" t="s">
        <v>1113</v>
      </c>
      <c r="H5" s="42" t="s">
        <v>1216</v>
      </c>
      <c r="I5">
        <v>1798</v>
      </c>
      <c r="J5" t="s">
        <v>195</v>
      </c>
      <c r="K5" t="s">
        <v>886</v>
      </c>
      <c r="L5">
        <v>34</v>
      </c>
      <c r="M5" s="56" t="s">
        <v>1258</v>
      </c>
      <c r="N5" s="30">
        <v>899.51</v>
      </c>
      <c r="O5" t="s">
        <v>887</v>
      </c>
      <c r="P5" s="30">
        <v>1757.12</v>
      </c>
      <c r="Q5">
        <v>2</v>
      </c>
      <c r="R5" s="30">
        <v>14848.87</v>
      </c>
      <c r="S5" t="s">
        <v>888</v>
      </c>
      <c r="U5" t="s">
        <v>603</v>
      </c>
      <c r="V5" t="s">
        <v>712</v>
      </c>
      <c r="W5" t="str">
        <f t="shared" si="7"/>
        <v>Lithium</v>
      </c>
      <c r="X5" t="str">
        <f t="shared" si="0"/>
        <v>Bor</v>
      </c>
      <c r="Y5" t="s">
        <v>809</v>
      </c>
      <c r="Z5" s="16" t="s">
        <v>885</v>
      </c>
      <c r="AA5" s="35"/>
      <c r="AB5" s="16"/>
      <c r="AC5" s="27" t="s">
        <v>969</v>
      </c>
      <c r="AD5" s="27" t="str">
        <f>CONCATENATE("#REDIRECT [[",C5,"]]")</f>
        <v>#REDIRECT [[Beryllium]]</v>
      </c>
      <c r="AE5" s="7"/>
      <c r="AF5" t="str">
        <f t="shared" ref="AF5:AF10" si="8">C5</f>
        <v>Beryllium</v>
      </c>
      <c r="AG5" t="str">
        <f t="shared" ref="AG5:AG13" si="9">C13</f>
        <v>Magnesium</v>
      </c>
      <c r="AJ5" t="str">
        <f t="shared" si="2"/>
        <v xml:space="preserve"> wurde 1798 in Frankreich durch Vauquelin entdeckt.</v>
      </c>
      <c r="AM5" t="str">
        <f t="shared" si="3"/>
        <v>004</v>
      </c>
      <c r="AN5" t="s">
        <v>1041</v>
      </c>
      <c r="AO5" s="27" t="e">
        <f>CONCATENATE("{{Element|Ordnungszahl=",A5,"|Symbol=",B5,"|Name=",C5,"|Atommasse=",#REF!,"|EN=",E5,"|BP=",F5,"|MP=",G5,"|Dichte=",H5,"|Ionenradius=",L5,"|Ivolt=",N5,"|Aradius=",M5)</f>
        <v>#REF!</v>
      </c>
      <c r="AP5" s="27" t="str">
        <f t="shared" si="4"/>
        <v>|Enthalpie=324.3|IVolt2=1757,12|Wert=2|IVolt3=14848,87|Farbe=grau-weiß|Flamme=|Elektronenkonfiguration=[He] 2s2|EK-Wiki=[He] 2s&lt;sup&gt;2&lt;/sup&gt;|pre=Lithium|next=Bor|Metall=Metall|E-Name=Beryllium|L-Name=</v>
      </c>
      <c r="AQ5" s="27" t="str">
        <f t="shared" si="5"/>
        <v>|Verwendung=|Wortherkunft=Die Bezeichnung Beryllium leitet sich von Beryll ab, einem Edelstein, der Beryllium enthält.|L-Abk. bzw. redirect=#REDIRECT [[Beryllium]]|radioaktiv=|hoch=Beryllium|runter=Magnesium|Bild-Element=|Bild-Verwendung=|www= wurde 1798 in Frankreich durch Vauquelin entdeckt.|E-Gruppe=|Sonstiges-kurz=|OZ3=004|WL=Sammlung|Text= }}
[[Kategorie:Chemie]][[Kategorie:Chemikalien]]</v>
      </c>
      <c r="AR5" s="31" t="e">
        <f t="shared" si="1"/>
        <v>#REF!</v>
      </c>
      <c r="AS5" t="str">
        <f t="shared" si="6"/>
        <v xml:space="preserve"> wurde 1798 in Frankreich durch Vauquelin entdeckt. http://www.webelements.com/webelements/elements/media/element-pics/Be.jpg</v>
      </c>
    </row>
    <row r="6" spans="1:45" ht="18" customHeight="1">
      <c r="A6">
        <v>5</v>
      </c>
      <c r="B6" t="s">
        <v>889</v>
      </c>
      <c r="C6" t="s">
        <v>890</v>
      </c>
      <c r="D6">
        <v>10.81</v>
      </c>
      <c r="E6">
        <v>2</v>
      </c>
      <c r="F6" s="36" t="s">
        <v>1171</v>
      </c>
      <c r="G6" s="54" t="s">
        <v>1114</v>
      </c>
      <c r="H6" s="42" t="s">
        <v>447</v>
      </c>
      <c r="I6">
        <v>1808</v>
      </c>
      <c r="J6" t="s">
        <v>196</v>
      </c>
      <c r="K6" t="s">
        <v>873</v>
      </c>
      <c r="L6">
        <v>23</v>
      </c>
      <c r="M6" s="56" t="s">
        <v>1259</v>
      </c>
      <c r="N6" s="30">
        <v>800.64</v>
      </c>
      <c r="O6" t="s">
        <v>891</v>
      </c>
      <c r="P6" s="30">
        <v>2427.09</v>
      </c>
      <c r="Q6">
        <v>3</v>
      </c>
      <c r="R6" s="30">
        <v>3659.78</v>
      </c>
      <c r="S6" t="s">
        <v>892</v>
      </c>
      <c r="U6" t="s">
        <v>604</v>
      </c>
      <c r="V6" t="s">
        <v>719</v>
      </c>
      <c r="W6" t="str">
        <f t="shared" si="7"/>
        <v>Beryllium</v>
      </c>
      <c r="X6" t="str">
        <f t="shared" si="0"/>
        <v>Kohlenstoff</v>
      </c>
      <c r="Y6" t="s">
        <v>811</v>
      </c>
      <c r="Z6" s="16" t="s">
        <v>831</v>
      </c>
      <c r="AA6" s="35"/>
      <c r="AB6" s="16"/>
      <c r="AC6" s="27" t="s">
        <v>970</v>
      </c>
      <c r="AD6" s="27" t="str">
        <f>CONCATENATE("#REDIRECT [[",C6,"]]")</f>
        <v>#REDIRECT [[Bor]]</v>
      </c>
      <c r="AE6" s="7"/>
      <c r="AF6" t="str">
        <f t="shared" si="8"/>
        <v>Bor</v>
      </c>
      <c r="AG6" t="str">
        <f t="shared" si="9"/>
        <v>Aluminium</v>
      </c>
      <c r="AJ6" t="str">
        <f t="shared" si="2"/>
        <v xml:space="preserve"> wurde 1808 in England durch Gay-Lussac, Thénard entdeckt.</v>
      </c>
      <c r="AM6" t="str">
        <f t="shared" si="3"/>
        <v>005</v>
      </c>
      <c r="AN6" t="s">
        <v>1041</v>
      </c>
      <c r="AO6" s="27" t="e">
        <f>CONCATENATE("{{Element|Ordnungszahl=",A6,"|Symbol=",B6,"|Name=",C6,"|Atommasse=",#REF!,"|EN=",E6,"|BP=",F6,"|MP=",G6,"|Dichte=",H6,"|Ionenradius=",L6,"|Ivolt=",N6,"|Aradius=",M6)</f>
        <v>#REF!</v>
      </c>
      <c r="AP6" s="27" t="str">
        <f t="shared" si="4"/>
        <v>|Enthalpie=562.7|IVolt2=2427,09|Wert=3|IVolt3=3659,78|Farbe=gelb-braun|Flamme=|Elektronenkonfiguration=[He] 2s2p1|EK-Wiki=[He] 2s&lt;sup&gt;2&lt;/sup&gt;p&lt;sup&gt;1&lt;/sup&gt;|pre=Beryllium|next=Kohlenstoff|Metall=Halbmetall|E-Name=Boron|L-Name=</v>
      </c>
      <c r="AQ6" s="27" t="str">
        <f t="shared" si="5"/>
        <v>|Verwendung=|Wortherkunft=Borverbindungen (arabisch ''Buraq'' und lat. ''borax'' = borsaures Natron, Borax) sind seit Jahrtausenden bekannt. Im alten Ägypten nutzte man zur Mumifikation das Mineral Natron, das neben anderen Verbindungen auch Borate enthält.|L-Abk. bzw. redirect=#REDIRECT [[Bor]]|radioaktiv=|hoch=Bor|runter=Aluminium|Bild-Element=|Bild-Verwendung=|www= wurde 1808 in England durch Gay-Lussac, Thénard entdeckt.|E-Gruppe=|Sonstiges-kurz=|OZ3=005|WL=Sammlung|Text= }}
[[Kategorie:Chemie]][[Kategorie:Chemikalien]]</v>
      </c>
      <c r="AR6" s="31" t="e">
        <f t="shared" si="1"/>
        <v>#REF!</v>
      </c>
      <c r="AS6" t="str">
        <f t="shared" si="6"/>
        <v xml:space="preserve"> wurde 1808 in England durch Gay-Lussac, Thénard entdeckt. http://www.webelements.com/webelements/elements/media/element-pics/B.jpg</v>
      </c>
    </row>
    <row r="7" spans="1:45" ht="18" customHeight="1">
      <c r="A7">
        <v>6</v>
      </c>
      <c r="B7" t="s">
        <v>893</v>
      </c>
      <c r="C7" t="s">
        <v>894</v>
      </c>
      <c r="D7">
        <v>12.01</v>
      </c>
      <c r="E7">
        <v>2.5</v>
      </c>
      <c r="F7" s="36" t="s">
        <v>1115</v>
      </c>
      <c r="G7" s="54" t="s">
        <v>1115</v>
      </c>
      <c r="H7" s="42" t="s">
        <v>1243</v>
      </c>
      <c r="I7" t="s">
        <v>812</v>
      </c>
      <c r="L7">
        <v>16</v>
      </c>
      <c r="M7" s="56" t="s">
        <v>1260</v>
      </c>
      <c r="N7" s="30">
        <v>1086.46</v>
      </c>
      <c r="O7" t="s">
        <v>895</v>
      </c>
      <c r="P7" s="30">
        <v>2352.65</v>
      </c>
      <c r="Q7">
        <v>4</v>
      </c>
      <c r="R7" s="30">
        <v>4620.5</v>
      </c>
      <c r="S7" t="s">
        <v>896</v>
      </c>
      <c r="U7" t="s">
        <v>605</v>
      </c>
      <c r="V7" t="s">
        <v>721</v>
      </c>
      <c r="W7" t="str">
        <f t="shared" si="7"/>
        <v>Bor</v>
      </c>
      <c r="X7" t="str">
        <f t="shared" si="0"/>
        <v>Stickstoff</v>
      </c>
      <c r="Y7" t="s">
        <v>810</v>
      </c>
      <c r="Z7" s="16" t="s">
        <v>837</v>
      </c>
      <c r="AA7" s="35" t="s">
        <v>954</v>
      </c>
      <c r="AB7" s="16"/>
      <c r="AC7" s="27" t="s">
        <v>971</v>
      </c>
      <c r="AD7" s="27" t="str">
        <f>CONCATENATE("&lt;b&gt;{{PAGENAME}}&lt;/b&gt; ist das chemische Symbol für das [[PSE|Element]] &lt;b&gt;&amp;rarr; [[",C7,"]]&lt;/b&gt;, von lateinisch ",AA7,".
[[Kategorie:Chemie]][[Kategorie:Chemikalien]]")</f>
        <v>&lt;b&gt;{{PAGENAME}}&lt;/b&gt; ist das chemische Symbol für das [[PSE|Element]] &lt;b&gt;&amp;rarr; [[Kohlenstoff]]&lt;/b&gt;, von lateinisch &lt;b&gt;&lt;i&gt;C&lt;/b&gt;arbonium&lt;/i&gt;.
[[Kategorie:Chemie]][[Kategorie:Chemikalien]]</v>
      </c>
      <c r="AE7" s="7"/>
      <c r="AF7" t="str">
        <f t="shared" si="8"/>
        <v>Kohlenstoff</v>
      </c>
      <c r="AG7" t="str">
        <f t="shared" si="9"/>
        <v>Silicium</v>
      </c>
      <c r="AJ7" t="s">
        <v>965</v>
      </c>
      <c r="AM7" t="str">
        <f t="shared" si="3"/>
        <v>006</v>
      </c>
      <c r="AN7" t="s">
        <v>1041</v>
      </c>
      <c r="AO7" s="27" t="e">
        <f>CONCATENATE("{{Element|Ordnungszahl=",A7,"|Symbol=",B7,"|Name=",C7,"|Atommasse=",#REF!,"|EN=",E7,"|BP=",F7,"|MP=",G7,"|Dichte=",H7,"|Ionenradius=",L7,"|Ivolt=",N7,"|Aradius=",M7)</f>
        <v>#REF!</v>
      </c>
      <c r="AP7" s="27" t="str">
        <f t="shared" si="4"/>
        <v>|Enthalpie=716.7|IVolt2=2352,65|Wert=4|IVolt3=4620,5|Farbe=schwarz|Flamme=|Elektronenkonfiguration=[He] 2s2p2|EK-Wiki=[He] 2s&lt;sup&gt;2&lt;/sup&gt;p&lt;sup&gt;2&lt;/sup&gt;|pre=Bor|next=Stickstoff|Metall=Nichtmetall|E-Name=Carbon|L-Name=&lt;b&gt;&lt;i&gt;C&lt;/b&gt;arbonium&lt;/i&gt;</v>
      </c>
      <c r="AQ7" s="27" t="str">
        <f t="shared" si="5"/>
        <v>|Verwendung=|Wortherkunft=Wortherkunft von lat. ''carbo'' = Holzkohle.|L-Abk. bzw. redirect=&lt;b&gt;{{PAGENAME}}&lt;/b&gt; ist das chemische Symbol für das [[PSE|Element]] &lt;b&gt;&amp;rarr; [[Kohlenstoff]]&lt;/b&gt;, von lateinisch &lt;b&gt;&lt;i&gt;C&lt;/b&gt;arbonium&lt;/i&gt;.
[[Kategorie:Chemie]][[Kategorie:Chemikalien]]|radioaktiv=|hoch=Kohlenstoff|runter=Silicium|Bild-Element=|Bild-Verwendung=|www= ist seit dem Altertum bekannt.|E-Gruppe=|Sonstiges-kurz=|OZ3=006|WL=Sammlung|Text= }}
[[Kategorie:Chemie]][[Kategorie:Chemikalien]]</v>
      </c>
      <c r="AR7" s="31" t="e">
        <f t="shared" si="1"/>
        <v>#REF!</v>
      </c>
      <c r="AS7" t="str">
        <f t="shared" si="6"/>
        <v xml:space="preserve"> ist seit dem Altertum bekannt. http://www.webelements.com/webelements/elements/media/element-pics/C.jpg</v>
      </c>
    </row>
    <row r="8" spans="1:45" ht="18" customHeight="1">
      <c r="A8">
        <v>7</v>
      </c>
      <c r="B8" t="s">
        <v>897</v>
      </c>
      <c r="C8" t="s">
        <v>898</v>
      </c>
      <c r="D8">
        <v>14</v>
      </c>
      <c r="E8">
        <v>3</v>
      </c>
      <c r="F8" s="36" t="s">
        <v>486</v>
      </c>
      <c r="G8" s="54" t="s">
        <v>487</v>
      </c>
      <c r="H8" s="42" t="s">
        <v>1246</v>
      </c>
      <c r="I8">
        <v>1770</v>
      </c>
      <c r="J8" t="s">
        <v>197</v>
      </c>
      <c r="K8" t="s">
        <v>879</v>
      </c>
      <c r="L8">
        <v>171</v>
      </c>
      <c r="M8" s="56" t="s">
        <v>1261</v>
      </c>
      <c r="N8" s="30">
        <v>1402.34</v>
      </c>
      <c r="O8" t="s">
        <v>899</v>
      </c>
      <c r="P8" s="30">
        <v>2856.11</v>
      </c>
      <c r="Q8">
        <v>2</v>
      </c>
      <c r="R8" s="30">
        <v>4578.1899999999996</v>
      </c>
      <c r="S8" t="s">
        <v>875</v>
      </c>
      <c r="U8" t="s">
        <v>606</v>
      </c>
      <c r="V8" t="s">
        <v>723</v>
      </c>
      <c r="W8" t="str">
        <f t="shared" si="7"/>
        <v>Kohlenstoff</v>
      </c>
      <c r="X8" t="str">
        <f t="shared" si="0"/>
        <v>Sauerstoff</v>
      </c>
      <c r="Y8" t="s">
        <v>810</v>
      </c>
      <c r="Z8" s="16" t="s">
        <v>845</v>
      </c>
      <c r="AA8" s="35" t="s">
        <v>955</v>
      </c>
      <c r="AB8" s="16"/>
      <c r="AC8" s="27" t="s">
        <v>1049</v>
      </c>
      <c r="AD8" s="27" t="str">
        <f>CONCATENATE("&lt;b&gt;{{PAGENAME}}&lt;/b&gt; ist das chemische Symbol für das [[PSE|Element]] &lt;b&gt;&amp;rarr; [[",C8,"]]&lt;/b&gt;, von lateinisch ",AA8,".
[[Kategorie:Chemie]][[Kategorie:Chemikalien]]")</f>
        <v>&lt;b&gt;{{PAGENAME}}&lt;/b&gt; ist das chemische Symbol für das [[PSE|Element]] &lt;b&gt;&amp;rarr; [[Stickstoff]]&lt;/b&gt;, von lateinisch &lt;b&gt;&lt;i&gt;N&lt;/b&gt;itrogenium&lt;/i&gt;.
[[Kategorie:Chemie]][[Kategorie:Chemikalien]]</v>
      </c>
      <c r="AE8" s="7"/>
      <c r="AF8" t="str">
        <f t="shared" si="8"/>
        <v>Stickstoff</v>
      </c>
      <c r="AG8" t="str">
        <f t="shared" si="9"/>
        <v>Phosphor</v>
      </c>
      <c r="AJ8" t="str">
        <f t="shared" si="2"/>
        <v xml:space="preserve"> wurde 1770 in Schottland durch Scheele, Rutherford entdeckt.</v>
      </c>
      <c r="AM8" t="str">
        <f t="shared" si="3"/>
        <v>007</v>
      </c>
      <c r="AN8" t="s">
        <v>1041</v>
      </c>
      <c r="AO8" s="27" t="e">
        <f>CONCATENATE("{{Element|Ordnungszahl=",A8,"|Symbol=",B8,"|Name=",C8,"|Atommasse=",#REF!,"|EN=",E8,"|BP=",F8,"|MP=",G8,"|Dichte=",H8,"|Ionenradius=",L8,"|Ivolt=",N8,"|Aradius=",M8)</f>
        <v>#REF!</v>
      </c>
      <c r="AP8" s="27" t="str">
        <f t="shared" si="4"/>
        <v>|Enthalpie=472.7|IVolt2=2856,11|Wert=2|IVolt3=4578,19|Farbe=farblos|Flamme=|Elektronenkonfiguration=[He] 2s2p3|EK-Wiki=[He] 2s&lt;sup&gt;2&lt;/sup&gt;p&lt;sup&gt;3&lt;/sup&gt;|pre=Kohlenstoff|next=Sauerstoff|Metall=Nichtmetall|E-Name=Nitrogen|L-Name=&lt;b&gt;&lt;i&gt;N&lt;/b&gt;itrogenium&lt;/i&gt;</v>
      </c>
      <c r="AQ8" s="27" t="str">
        <f t="shared" si="5"/>
        <v>|Verwendung=|Wortherkunft=Das Elementsymbol N leitet sich von der lateinischen Bezeichnung nitrogenium (von altgriech. νιτρον „Laugensalz“ und altgriech. γενος „Herkunft“) ab. Die deutsche Bezeichnung Stickstoff erinnert daran, dass molekularer Stickstoff Flammen löscht („erstickt“).|L-Abk. bzw. redirect=&lt;b&gt;{{PAGENAME}}&lt;/b&gt; ist das chemische Symbol für das [[PSE|Element]] &lt;b&gt;&amp;rarr; [[Stickstoff]]&lt;/b&gt;, von lateinisch &lt;b&gt;&lt;i&gt;N&lt;/b&gt;itrogenium&lt;/i&gt;.
[[Kategorie:Chemie]][[Kategorie:Chemikalien]]|radioaktiv=|hoch=Stickstoff|runter=Phosphor|Bild-Element=|Bild-Verwendung=|www= wurde 1770 in Schottland durch Scheele, Rutherford entdeckt.|E-Gruppe=|Sonstiges-kurz=|OZ3=007|WL=Sammlung|Text= }}
[[Kategorie:Chemie]][[Kategorie:Chemikalien]]</v>
      </c>
      <c r="AR8" s="31" t="e">
        <f t="shared" si="1"/>
        <v>#REF!</v>
      </c>
      <c r="AS8" t="str">
        <f t="shared" si="6"/>
        <v xml:space="preserve"> wurde 1770 in Schottland durch Scheele, Rutherford entdeckt. http://www.webelements.com/webelements/elements/media/element-pics/N.jpg</v>
      </c>
    </row>
    <row r="9" spans="1:45" ht="18" customHeight="1">
      <c r="A9">
        <v>8</v>
      </c>
      <c r="B9" t="s">
        <v>900</v>
      </c>
      <c r="C9" t="s">
        <v>901</v>
      </c>
      <c r="D9">
        <v>16</v>
      </c>
      <c r="E9">
        <v>3.5</v>
      </c>
      <c r="F9" s="36" t="s">
        <v>488</v>
      </c>
      <c r="G9" s="54" t="s">
        <v>1116</v>
      </c>
      <c r="H9" s="42" t="s">
        <v>1249</v>
      </c>
      <c r="I9">
        <v>1771</v>
      </c>
      <c r="J9" t="s">
        <v>198</v>
      </c>
      <c r="K9" t="s">
        <v>873</v>
      </c>
      <c r="L9">
        <v>132</v>
      </c>
      <c r="M9" s="56" t="s">
        <v>1262</v>
      </c>
      <c r="N9" s="30">
        <v>1313.95</v>
      </c>
      <c r="O9" t="s">
        <v>902</v>
      </c>
      <c r="P9" s="30">
        <v>3388.33</v>
      </c>
      <c r="Q9">
        <v>4</v>
      </c>
      <c r="R9" s="30">
        <v>5300.51</v>
      </c>
      <c r="S9" t="s">
        <v>875</v>
      </c>
      <c r="U9" t="s">
        <v>607</v>
      </c>
      <c r="V9" t="s">
        <v>725</v>
      </c>
      <c r="W9" t="str">
        <f t="shared" si="7"/>
        <v>Stickstoff</v>
      </c>
      <c r="X9" t="str">
        <f t="shared" si="0"/>
        <v>Fluor</v>
      </c>
      <c r="Y9" t="s">
        <v>810</v>
      </c>
      <c r="Z9" s="16" t="s">
        <v>852</v>
      </c>
      <c r="AA9" s="35" t="s">
        <v>956</v>
      </c>
      <c r="AB9" s="16"/>
      <c r="AC9" s="27" t="s">
        <v>1043</v>
      </c>
      <c r="AD9" s="27" t="str">
        <f>CONCATENATE("&lt;b&gt;{{PAGENAME}}&lt;/b&gt; ist das chemische Symbol für das [[PSE|Element]] &lt;b&gt;&amp;rarr; [[",C9,"]]&lt;/b&gt;, von lateinisch ",AA9,".
[[Kategorie:Chemie]][[Kategorie:Chemikalien]]")</f>
        <v>&lt;b&gt;{{PAGENAME}}&lt;/b&gt; ist das chemische Symbol für das [[PSE|Element]] &lt;b&gt;&amp;rarr; [[Sauerstoff]]&lt;/b&gt;, von lateinisch &lt;b&gt;&lt;i&gt;O&lt;/b&gt;xygenium&lt;/i&gt;.
[[Kategorie:Chemie]][[Kategorie:Chemikalien]]</v>
      </c>
      <c r="AE9" s="7"/>
      <c r="AF9" t="str">
        <f t="shared" si="8"/>
        <v>Sauerstoff</v>
      </c>
      <c r="AG9" t="str">
        <f t="shared" si="9"/>
        <v>Schwefel</v>
      </c>
      <c r="AJ9" t="str">
        <f t="shared" si="2"/>
        <v xml:space="preserve"> wurde 1771 in England durch Scheele entdeckt.</v>
      </c>
      <c r="AM9" t="str">
        <f t="shared" si="3"/>
        <v>008</v>
      </c>
      <c r="AN9" t="s">
        <v>1041</v>
      </c>
      <c r="AO9" s="27" t="e">
        <f>CONCATENATE("{{Element|Ordnungszahl=",A9,"|Symbol=",B9,"|Name=",C9,"|Atommasse=",#REF!,"|EN=",E9,"|BP=",F9,"|MP=",G9,"|Dichte=",H9,"|Ionenradius=",L9,"|Ivolt=",N9,"|Aradius=",M9)</f>
        <v>#REF!</v>
      </c>
      <c r="AP9" s="27" t="str">
        <f t="shared" si="4"/>
        <v>|Enthalpie=249.2|IVolt2=3388,33|Wert=4|IVolt3=5300,51|Farbe=farblos|Flamme=|Elektronenkonfiguration=[He] 2s2p4|EK-Wiki=[He] 2s&lt;sup&gt;2&lt;/sup&gt;p&lt;sup&gt;4&lt;/sup&gt;|pre=Stickstoff|next=Fluor|Metall=Nichtmetall|E-Name=Oxygen|L-Name=&lt;b&gt;&lt;i&gt;O&lt;/b&gt;xygenium&lt;/i&gt;</v>
      </c>
      <c r="AQ9" s="27" t="str">
        <f t="shared" si="5"/>
        <v>|Verwendung=|Wortherkunft=Sauerstoff''' (auch ''Oxygenium;'' von griech. ''oxýs'' „scharf, spitz, sauer“ und ''genese'' „erzeugen“).Früher machte man den Sauerstoff für die Bildung von Säuren verantwortlich.|L-Abk. bzw. redirect=&lt;b&gt;{{PAGENAME}}&lt;/b&gt; ist das chemische Symbol für das [[PSE|Element]] &lt;b&gt;&amp;rarr; [[Sauerstoff]]&lt;/b&gt;, von lateinisch &lt;b&gt;&lt;i&gt;O&lt;/b&gt;xygenium&lt;/i&gt;.
[[Kategorie:Chemie]][[Kategorie:Chemikalien]]|radioaktiv=|hoch=Sauerstoff|runter=Schwefel|Bild-Element=|Bild-Verwendung=|www= wurde 1771 in England durch Scheele entdeckt.|E-Gruppe=|Sonstiges-kurz=|OZ3=008|WL=Sammlung|Text= }}
[[Kategorie:Chemie]][[Kategorie:Chemikalien]]</v>
      </c>
      <c r="AR9" s="31" t="e">
        <f t="shared" si="1"/>
        <v>#REF!</v>
      </c>
      <c r="AS9" t="str">
        <f t="shared" si="6"/>
        <v xml:space="preserve"> wurde 1771 in England durch Scheele entdeckt. http://www.webelements.com/webelements/elements/media/element-pics/O.jpg</v>
      </c>
    </row>
    <row r="10" spans="1:45" ht="18" customHeight="1">
      <c r="A10">
        <v>9</v>
      </c>
      <c r="B10" t="s">
        <v>903</v>
      </c>
      <c r="C10" t="s">
        <v>904</v>
      </c>
      <c r="D10">
        <v>19</v>
      </c>
      <c r="E10">
        <v>4</v>
      </c>
      <c r="F10" s="36" t="s">
        <v>489</v>
      </c>
      <c r="G10" s="54" t="s">
        <v>490</v>
      </c>
      <c r="H10" s="42" t="s">
        <v>1247</v>
      </c>
      <c r="I10">
        <v>1886</v>
      </c>
      <c r="J10" t="s">
        <v>199</v>
      </c>
      <c r="K10" t="s">
        <v>886</v>
      </c>
      <c r="L10">
        <v>133</v>
      </c>
      <c r="M10" s="56" t="s">
        <v>1263</v>
      </c>
      <c r="N10" s="30">
        <v>1681.06</v>
      </c>
      <c r="O10">
        <v>79</v>
      </c>
      <c r="P10" s="30">
        <v>3374.2</v>
      </c>
      <c r="Q10">
        <v>-1</v>
      </c>
      <c r="R10" s="30">
        <v>6050.48</v>
      </c>
      <c r="S10" t="s">
        <v>905</v>
      </c>
      <c r="U10" t="s">
        <v>608</v>
      </c>
      <c r="V10" t="s">
        <v>727</v>
      </c>
      <c r="W10" t="str">
        <f t="shared" si="7"/>
        <v>Sauerstoff</v>
      </c>
      <c r="X10" t="str">
        <f t="shared" si="0"/>
        <v>Neon</v>
      </c>
      <c r="Y10" t="s">
        <v>810</v>
      </c>
      <c r="Z10" s="16" t="s">
        <v>853</v>
      </c>
      <c r="AA10" s="35"/>
      <c r="AB10" s="16"/>
      <c r="AC10" s="27" t="s">
        <v>1017</v>
      </c>
      <c r="AD10" s="27" t="str">
        <f t="shared" ref="AD10:AD26" si="10">CONCATENATE("#REDIRECT [[",C10,"]]")</f>
        <v>#REDIRECT [[Fluor]]</v>
      </c>
      <c r="AE10" s="7"/>
      <c r="AF10" t="str">
        <f t="shared" si="8"/>
        <v>Fluor</v>
      </c>
      <c r="AG10" t="str">
        <f t="shared" si="9"/>
        <v>Chlor</v>
      </c>
      <c r="AJ10" t="str">
        <f t="shared" si="2"/>
        <v xml:space="preserve"> wurde 1886 in Frankreich durch Moissan entdeckt.</v>
      </c>
      <c r="AM10" t="str">
        <f t="shared" si="3"/>
        <v>009</v>
      </c>
      <c r="AN10" t="s">
        <v>1042</v>
      </c>
      <c r="AO10" s="27" t="e">
        <f>CONCATENATE("{{Element|Ordnungszahl=",A10,"|Symbol=",B10,"|Name=",C10,"|Atommasse=",#REF!,"|EN=",E10,"|BP=",F10,"|MP=",G10,"|Dichte=",H10,"|Ionenradius=",L10,"|Ivolt=",N10,"|Aradius=",M10)</f>
        <v>#REF!</v>
      </c>
      <c r="AP10" s="27" t="str">
        <f t="shared" si="4"/>
        <v>|Enthalpie=79|IVolt2=3374,2|Wert=-1|IVolt3=6050,48|Farbe=grün-gelb|Flamme=|Elektronenkonfiguration=[He] 2s2p5|EK-Wiki=[He] 2s&lt;sup&gt;2&lt;/sup&gt;p&lt;sup&gt;5&lt;/sup&gt;|pre=Sauerstoff|next=Neon|Metall=Nichtmetall|E-Name=Fluorine|L-Name=</v>
      </c>
      <c r="AQ10" s="27" t="str">
        <f t="shared" si="5"/>
        <v>|Verwendung=|Wortherkunft=Der Name Fluor leitet sich über lateinisch fluor (= das Fließen) von Flussspat ab, dem wichtigsten Mineral, das Fluor enthält.|L-Abk. bzw. redirect=#REDIRECT [[Fluor]]|radioaktiv=|hoch=Fluor|runter=Chlor|Bild-Element=|Bild-Verwendung=|www= wurde 1886 in Frankreich durch Moissan entdeckt.|E-Gruppe=|Sonstiges-kurz=|OZ3=009|WL=nichda|Text= }}
[[Kategorie:Chemie]][[Kategorie:Chemikalien]]</v>
      </c>
      <c r="AR10" s="31" t="e">
        <f t="shared" si="1"/>
        <v>#REF!</v>
      </c>
      <c r="AS10" t="str">
        <f t="shared" si="6"/>
        <v xml:space="preserve"> wurde 1886 in Frankreich durch Moissan entdeckt. http://www.webelements.com/webelements/elements/media/element-pics/F.jpg</v>
      </c>
    </row>
    <row r="11" spans="1:45" ht="18" customHeight="1">
      <c r="A11">
        <v>10</v>
      </c>
      <c r="B11" t="s">
        <v>906</v>
      </c>
      <c r="C11" t="s">
        <v>907</v>
      </c>
      <c r="D11">
        <v>20.18</v>
      </c>
      <c r="E11">
        <v>0</v>
      </c>
      <c r="F11" s="36" t="s">
        <v>491</v>
      </c>
      <c r="G11" s="54" t="s">
        <v>492</v>
      </c>
      <c r="H11" s="42" t="s">
        <v>1248</v>
      </c>
      <c r="I11">
        <v>1898</v>
      </c>
      <c r="J11" t="s">
        <v>193</v>
      </c>
      <c r="K11" t="s">
        <v>873</v>
      </c>
      <c r="L11" t="s">
        <v>874</v>
      </c>
      <c r="M11" s="56" t="s">
        <v>1264</v>
      </c>
      <c r="N11" s="30">
        <v>2080.6799999999998</v>
      </c>
      <c r="O11">
        <v>0</v>
      </c>
      <c r="P11" s="30">
        <v>3952.38</v>
      </c>
      <c r="Q11" t="s">
        <v>874</v>
      </c>
      <c r="R11" s="30">
        <v>6122.04</v>
      </c>
      <c r="S11" t="s">
        <v>875</v>
      </c>
      <c r="U11" t="s">
        <v>609</v>
      </c>
      <c r="V11" t="s">
        <v>729</v>
      </c>
      <c r="W11" t="str">
        <f t="shared" si="7"/>
        <v>Fluor</v>
      </c>
      <c r="X11" t="str">
        <f t="shared" si="0"/>
        <v>Natrium</v>
      </c>
      <c r="Y11" t="s">
        <v>810</v>
      </c>
      <c r="Z11" s="16" t="s">
        <v>907</v>
      </c>
      <c r="AA11" s="35"/>
      <c r="AB11" s="16"/>
      <c r="AC11" s="27" t="s">
        <v>1019</v>
      </c>
      <c r="AD11" s="27" t="str">
        <f t="shared" si="10"/>
        <v>#REDIRECT [[Neon]]</v>
      </c>
      <c r="AE11" s="7"/>
      <c r="AF11" t="s">
        <v>878</v>
      </c>
      <c r="AG11" t="str">
        <f t="shared" si="9"/>
        <v>Argon</v>
      </c>
      <c r="AJ11" t="str">
        <f t="shared" si="2"/>
        <v xml:space="preserve"> wurde 1898 in England durch Ramsay entdeckt.</v>
      </c>
      <c r="AM11" t="str">
        <f t="shared" ref="AM11:AM42" si="11">CONCATENATE("0",A11,)</f>
        <v>010</v>
      </c>
      <c r="AN11" t="s">
        <v>1042</v>
      </c>
      <c r="AO11" s="27" t="e">
        <f>CONCATENATE("{{Element|Ordnungszahl=",A11,"|Symbol=",B11,"|Name=",C11,"|Atommasse=",#REF!,"|EN=",E11,"|BP=",F11,"|MP=",G11,"|Dichte=",H11,"|Ionenradius=",L11,"|Ivolt=",N11,"|Aradius=",M11)</f>
        <v>#REF!</v>
      </c>
      <c r="AP11" s="27" t="str">
        <f t="shared" si="4"/>
        <v>|Enthalpie=0|IVolt2=3952,38|Wert=-|IVolt3=6122,04|Farbe=farblos|Flamme=|Elektronenkonfiguration=[He] 2s2p6|EK-Wiki=[He] 2s&lt;sup&gt;2&lt;/sup&gt;p&lt;sup&gt;6&lt;/sup&gt;|pre=Fluor|next=Natrium|Metall=Nichtmetall|E-Name=Neon|L-Name=</v>
      </c>
      <c r="AQ11" s="27" t="str">
        <f t="shared" si="5"/>
        <v>|Verwendung=|Wortherkunft=Neon (von altgriech. νέος = neu). Neon (griechisch ''neos'' für neu) |L-Abk. bzw. redirect=#REDIRECT [[Neon]]|radioaktiv=|hoch=Helium|runter=Argon|Bild-Element=|Bild-Verwendung=|www= wurde 1898 in England durch Ramsay entdeckt.|E-Gruppe=|Sonstiges-kurz=|OZ3=010|WL=nichda|Text= }}
[[Kategorie:Chemie]][[Kategorie:Chemikalien]]</v>
      </c>
      <c r="AR11" s="31" t="e">
        <f t="shared" si="1"/>
        <v>#REF!</v>
      </c>
      <c r="AS11" t="str">
        <f t="shared" si="6"/>
        <v xml:space="preserve"> wurde 1898 in England durch Ramsay entdeckt. http://www.webelements.com/webelements/elements/media/element-pics/Ne.jpg</v>
      </c>
    </row>
    <row r="12" spans="1:45" ht="18" customHeight="1">
      <c r="A12">
        <v>11</v>
      </c>
      <c r="B12" t="s">
        <v>908</v>
      </c>
      <c r="C12" t="s">
        <v>909</v>
      </c>
      <c r="D12">
        <v>22.99</v>
      </c>
      <c r="E12">
        <v>0.9</v>
      </c>
      <c r="F12" s="36" t="s">
        <v>1172</v>
      </c>
      <c r="G12" s="54" t="s">
        <v>493</v>
      </c>
      <c r="H12" s="42" t="s">
        <v>1217</v>
      </c>
      <c r="I12">
        <v>1807</v>
      </c>
      <c r="J12" t="s">
        <v>200</v>
      </c>
      <c r="K12" t="s">
        <v>873</v>
      </c>
      <c r="L12">
        <v>98</v>
      </c>
      <c r="M12" s="56" t="s">
        <v>1265</v>
      </c>
      <c r="N12" s="30">
        <v>495.85</v>
      </c>
      <c r="O12" t="s">
        <v>910</v>
      </c>
      <c r="P12" s="30">
        <v>4562.4799999999996</v>
      </c>
      <c r="Q12">
        <v>1</v>
      </c>
      <c r="R12" s="30">
        <v>6910.33</v>
      </c>
      <c r="S12" t="s">
        <v>1035</v>
      </c>
      <c r="T12" t="s">
        <v>911</v>
      </c>
      <c r="U12" t="s">
        <v>610</v>
      </c>
      <c r="V12" t="s">
        <v>705</v>
      </c>
      <c r="W12" t="str">
        <f t="shared" si="7"/>
        <v>Neon</v>
      </c>
      <c r="X12" t="str">
        <f t="shared" si="0"/>
        <v>Magnesium</v>
      </c>
      <c r="Y12" t="s">
        <v>809</v>
      </c>
      <c r="Z12" s="16" t="s">
        <v>858</v>
      </c>
      <c r="AA12" s="35"/>
      <c r="AB12" s="16"/>
      <c r="AC12" s="27" t="s">
        <v>1020</v>
      </c>
      <c r="AD12" s="27" t="str">
        <f t="shared" si="10"/>
        <v>#REDIRECT [[Natrium]]</v>
      </c>
      <c r="AE12" s="7"/>
      <c r="AF12" t="s">
        <v>881</v>
      </c>
      <c r="AG12" t="str">
        <f t="shared" si="9"/>
        <v>Kalium</v>
      </c>
      <c r="AJ12" t="str">
        <f t="shared" si="2"/>
        <v xml:space="preserve"> wurde 1807 in England durch Davy entdeckt.</v>
      </c>
      <c r="AM12" t="str">
        <f t="shared" si="11"/>
        <v>011</v>
      </c>
      <c r="AN12" t="s">
        <v>1041</v>
      </c>
      <c r="AO12" s="27" t="e">
        <f>CONCATENATE("{{Element|Ordnungszahl=",A12,"|Symbol=",B12,"|Name=",C12,"|Atommasse=",#REF!,"|EN=",E12,"|BP=",F12,"|MP=",G12,"|Dichte=",H12,"|Ionenradius=",L12,"|Ivolt=",N12,"|Aradius=",M12)</f>
        <v>#REF!</v>
      </c>
      <c r="AP12" s="27" t="str">
        <f t="shared" si="4"/>
        <v>|Enthalpie=107.3|IVolt2=4562,48|Wert=1|IVolt3=6910,33|Farbe=silbrig-weiß|Flamme=gelb|Elektronenkonfiguration=[Ne] 3s1|EK-Wiki=[Ne] 3s&lt;sup&gt;1&lt;/sup&gt;|pre=Neon|next=Magnesium|Metall=Metall|E-Name=Sodium|L-Name=</v>
      </c>
      <c r="AQ12" s="27" t="str">
        <f t="shared" si="5"/>
        <v>|Verwendung=|Wortherkunft=Natrium (von Ägyptische Sprache|ägypt. ''netjer'' = Natron aus Arabische Sprache|arab. ''natrun'' = Natron, da Natrium den Hauptbestandteil von Natron bildet, veraltete und englisch-französische Bezeichnung ''Sodium'')|L-Abk. bzw. redirect=#REDIRECT [[Natrium]]|radioaktiv=|hoch=Lithium|runter=Kalium|Bild-Element=|Bild-Verwendung=|www= wurde 1807 in England durch Davy entdeckt.|E-Gruppe=|Sonstiges-kurz=|OZ3=011|WL=Sammlung|Text= }}
[[Kategorie:Chemie]][[Kategorie:Chemikalien]]</v>
      </c>
      <c r="AR12" s="31" t="e">
        <f t="shared" si="1"/>
        <v>#REF!</v>
      </c>
      <c r="AS12" t="str">
        <f t="shared" si="6"/>
        <v xml:space="preserve"> wurde 1807 in England durch Davy entdeckt. http://www.webelements.com/webelements/elements/media/element-pics/Na.jpg</v>
      </c>
    </row>
    <row r="13" spans="1:45" ht="18" customHeight="1">
      <c r="A13">
        <v>12</v>
      </c>
      <c r="B13" t="s">
        <v>912</v>
      </c>
      <c r="C13" t="s">
        <v>913</v>
      </c>
      <c r="D13">
        <v>24.31</v>
      </c>
      <c r="E13">
        <v>1.2</v>
      </c>
      <c r="F13" s="36" t="s">
        <v>1075</v>
      </c>
      <c r="G13" s="54" t="s">
        <v>494</v>
      </c>
      <c r="H13" s="42" t="s">
        <v>1218</v>
      </c>
      <c r="I13">
        <v>1831</v>
      </c>
      <c r="J13" t="s">
        <v>201</v>
      </c>
      <c r="K13" t="s">
        <v>879</v>
      </c>
      <c r="L13">
        <v>78</v>
      </c>
      <c r="M13" s="56" t="s">
        <v>1266</v>
      </c>
      <c r="N13" s="30">
        <v>737.76</v>
      </c>
      <c r="O13" t="s">
        <v>914</v>
      </c>
      <c r="P13" s="30">
        <v>1450.69</v>
      </c>
      <c r="Q13">
        <v>2</v>
      </c>
      <c r="R13" s="30">
        <v>7732.75</v>
      </c>
      <c r="S13" t="s">
        <v>888</v>
      </c>
      <c r="T13" t="s">
        <v>915</v>
      </c>
      <c r="U13" t="s">
        <v>611</v>
      </c>
      <c r="V13" t="s">
        <v>713</v>
      </c>
      <c r="W13" t="str">
        <f t="shared" si="7"/>
        <v>Natrium</v>
      </c>
      <c r="X13" t="str">
        <f t="shared" si="0"/>
        <v>Aluminium</v>
      </c>
      <c r="Y13" t="s">
        <v>809</v>
      </c>
      <c r="Z13" s="16" t="s">
        <v>913</v>
      </c>
      <c r="AA13" s="35"/>
      <c r="AB13" s="16"/>
      <c r="AC13" s="27" t="s">
        <v>1025</v>
      </c>
      <c r="AD13" s="27" t="str">
        <f t="shared" si="10"/>
        <v>#REDIRECT [[Magnesium]]</v>
      </c>
      <c r="AE13" s="7"/>
      <c r="AF13" t="str">
        <f>C5</f>
        <v>Beryllium</v>
      </c>
      <c r="AG13" t="str">
        <f t="shared" si="9"/>
        <v>Calcium</v>
      </c>
      <c r="AJ13" t="str">
        <f t="shared" si="2"/>
        <v xml:space="preserve"> wurde 1831 in Schottland durch Davy,Bussy entdeckt.</v>
      </c>
      <c r="AM13" t="str">
        <f t="shared" si="11"/>
        <v>012</v>
      </c>
      <c r="AN13" t="s">
        <v>1041</v>
      </c>
      <c r="AO13" s="27" t="e">
        <f>CONCATENATE("{{Element|Ordnungszahl=",A13,"|Symbol=",B13,"|Name=",C13,"|Atommasse=",#REF!,"|EN=",E13,"|BP=",F13,"|MP=",G13,"|Dichte=",H13,"|Ionenradius=",L13,"|Ivolt=",N13,"|Aradius=",M13)</f>
        <v>#REF!</v>
      </c>
      <c r="AP13" s="27" t="str">
        <f t="shared" si="4"/>
        <v>|Enthalpie=147.7|IVolt2=1450,69|Wert=2|IVolt3=7732,75|Farbe=grau-weiß|Flamme=weiß|Elektronenkonfiguration=[Ne] 3s2|EK-Wiki=[Ne] 3s&lt;sup&gt;2&lt;/sup&gt;|pre=Natrium|next=Aluminium|Metall=Metall|E-Name=Magnesium|L-Name=</v>
      </c>
      <c r="AQ13" s="27" t="str">
        <f t="shared" si="5"/>
        <v>|Verwendung=|Wortherkunft= 1. von griech. Magnetstein, 2. von Magnesia (Griechenland), einem Gebiet im östlichen Griechenland und 3.  von Magnesia, einer Stadt in Kleinasien, auf dem Gebiet der heutigen Türkei.|L-Abk. bzw. redirect=#REDIRECT [[Magnesium]]|radioaktiv=|hoch=Beryllium|runter=Calcium|Bild-Element=|Bild-Verwendung=|www= wurde 1831 in Schottland durch Davy,Bussy entdeckt.|E-Gruppe=|Sonstiges-kurz=|OZ3=012|WL=Sammlung|Text= }}
[[Kategorie:Chemie]][[Kategorie:Chemikalien]]</v>
      </c>
      <c r="AR13" s="31" t="e">
        <f t="shared" si="1"/>
        <v>#REF!</v>
      </c>
      <c r="AS13" t="str">
        <f t="shared" si="6"/>
        <v xml:space="preserve"> wurde 1831 in Schottland durch Davy,Bussy entdeckt. http://www.webelements.com/webelements/elements/media/element-pics/Mg.jpg</v>
      </c>
    </row>
    <row r="14" spans="1:45" ht="18" customHeight="1">
      <c r="A14">
        <v>13</v>
      </c>
      <c r="B14" t="s">
        <v>916</v>
      </c>
      <c r="C14" t="s">
        <v>917</v>
      </c>
      <c r="D14">
        <v>26.981999999999999</v>
      </c>
      <c r="E14">
        <v>1.5</v>
      </c>
      <c r="F14" s="36" t="s">
        <v>1173</v>
      </c>
      <c r="G14" s="54" t="s">
        <v>495</v>
      </c>
      <c r="H14" t="s">
        <v>1100</v>
      </c>
      <c r="I14">
        <v>1825</v>
      </c>
      <c r="J14" t="s">
        <v>202</v>
      </c>
      <c r="K14" t="s">
        <v>918</v>
      </c>
      <c r="L14">
        <v>57</v>
      </c>
      <c r="M14" s="56" t="s">
        <v>1267</v>
      </c>
      <c r="N14" s="30">
        <v>577.54</v>
      </c>
      <c r="O14" t="s">
        <v>919</v>
      </c>
      <c r="P14" s="30">
        <v>1816.69</v>
      </c>
      <c r="Q14">
        <v>3</v>
      </c>
      <c r="R14" s="30">
        <v>2744.8</v>
      </c>
      <c r="S14" t="s">
        <v>1033</v>
      </c>
      <c r="U14" t="s">
        <v>612</v>
      </c>
      <c r="V14" t="s">
        <v>720</v>
      </c>
      <c r="W14" t="str">
        <f t="shared" si="7"/>
        <v>Magnesium</v>
      </c>
      <c r="X14" t="str">
        <f t="shared" si="0"/>
        <v>Silicium</v>
      </c>
      <c r="Y14" t="s">
        <v>809</v>
      </c>
      <c r="Z14" s="16" t="s">
        <v>917</v>
      </c>
      <c r="AA14" s="35"/>
      <c r="AB14" s="16"/>
      <c r="AC14" s="27" t="s">
        <v>1021</v>
      </c>
      <c r="AD14" s="27" t="str">
        <f t="shared" si="10"/>
        <v>#REDIRECT [[Aluminium]]</v>
      </c>
      <c r="AE14" s="7"/>
      <c r="AF14" t="s">
        <v>890</v>
      </c>
      <c r="AG14" t="str">
        <f t="shared" ref="AG14:AG40" si="12">C32</f>
        <v>Gallium</v>
      </c>
      <c r="AJ14" t="str">
        <f t="shared" si="2"/>
        <v xml:space="preserve"> wurde 1825 in Dänemark durch Oersted entdeckt.</v>
      </c>
      <c r="AM14" t="str">
        <f t="shared" si="11"/>
        <v>013</v>
      </c>
      <c r="AN14" t="s">
        <v>1041</v>
      </c>
      <c r="AO14" s="27" t="e">
        <f>CONCATENATE("{{Element|Ordnungszahl=",A14,"|Symbol=",B14,"|Name=",C14,"|Atommasse=",#REF!,"|EN=",E14,"|BP=",F14,"|MP=",G14,"|Dichte=",H14,"|Ionenradius=",L14,"|Ivolt=",N14,"|Aradius=",M14)</f>
        <v>#REF!</v>
      </c>
      <c r="AP14" s="27" t="str">
        <f t="shared" si="4"/>
        <v>|Enthalpie=326.4|IVolt2=1816,69|Wert=3|IVolt3=2744,8|Farbe=silbrig|Flamme=|Elektronenkonfiguration=[Ne] 3s2p1|EK-Wiki=[Ne] 3s&lt;sup&gt;2&lt;/sup&gt;p&lt;sup&gt;1&lt;/sup&gt;|pre=Magnesium|next=Silicium|Metall=Metall|E-Name=Aluminium|L-Name=</v>
      </c>
      <c r="AQ14" s="27" t="str">
        <f t="shared" si="5"/>
        <v>|Verwendung=|Wortherkunft=Aluminium hat seinen Namen vom lateinischen Wort alumen (= Alaun).|L-Abk. bzw. redirect=#REDIRECT [[Aluminium]]|radioaktiv=|hoch=Bor|runter=Gallium|Bild-Element=|Bild-Verwendung=|www= wurde 1825 in Dänemark durch Oersted entdeckt.|E-Gruppe=|Sonstiges-kurz=|OZ3=013|WL=Sammlung|Text= }}
[[Kategorie:Chemie]][[Kategorie:Chemikalien]]</v>
      </c>
      <c r="AR14" s="31" t="e">
        <f t="shared" si="1"/>
        <v>#REF!</v>
      </c>
      <c r="AS14" t="str">
        <f t="shared" si="6"/>
        <v xml:space="preserve"> wurde 1825 in Dänemark durch Oersted entdeckt. http://www.webelements.com/webelements/elements/media/element-pics/Al.jpg</v>
      </c>
    </row>
    <row r="15" spans="1:45" ht="18" customHeight="1">
      <c r="A15">
        <v>14</v>
      </c>
      <c r="B15" t="s">
        <v>920</v>
      </c>
      <c r="C15" t="s">
        <v>921</v>
      </c>
      <c r="D15">
        <v>28.085000000000001</v>
      </c>
      <c r="E15">
        <v>1.8</v>
      </c>
      <c r="F15" s="36" t="s">
        <v>1077</v>
      </c>
      <c r="G15" s="54" t="s">
        <v>1068</v>
      </c>
      <c r="H15" s="42" t="s">
        <v>1219</v>
      </c>
      <c r="I15">
        <v>1823</v>
      </c>
      <c r="J15" t="s">
        <v>178</v>
      </c>
      <c r="K15" t="s">
        <v>882</v>
      </c>
      <c r="L15">
        <v>26</v>
      </c>
      <c r="M15" s="56" t="s">
        <v>1268</v>
      </c>
      <c r="N15" s="30">
        <v>786.52</v>
      </c>
      <c r="O15" t="s">
        <v>922</v>
      </c>
      <c r="P15" s="30">
        <v>1577.15</v>
      </c>
      <c r="Q15">
        <v>4</v>
      </c>
      <c r="R15" s="30">
        <v>3231.61</v>
      </c>
      <c r="S15" t="s">
        <v>923</v>
      </c>
      <c r="U15" t="s">
        <v>613</v>
      </c>
      <c r="V15" t="s">
        <v>722</v>
      </c>
      <c r="W15" t="str">
        <f t="shared" si="7"/>
        <v>Aluminium</v>
      </c>
      <c r="X15" t="str">
        <f t="shared" si="0"/>
        <v>Phosphor</v>
      </c>
      <c r="Y15" t="s">
        <v>811</v>
      </c>
      <c r="Z15" s="16" t="s">
        <v>839</v>
      </c>
      <c r="AA15" s="35"/>
      <c r="AB15" s="16"/>
      <c r="AC15" s="27" t="s">
        <v>1028</v>
      </c>
      <c r="AD15" s="27" t="str">
        <f t="shared" si="10"/>
        <v>#REDIRECT [[Silicium]]</v>
      </c>
      <c r="AE15" s="7"/>
      <c r="AF15" t="str">
        <f>C7</f>
        <v>Kohlenstoff</v>
      </c>
      <c r="AG15" t="str">
        <f t="shared" si="12"/>
        <v>Germanium</v>
      </c>
      <c r="AJ15" t="str">
        <f t="shared" si="2"/>
        <v xml:space="preserve"> wurde 1823 in Schweden durch Berzelius entdeckt.</v>
      </c>
      <c r="AM15" t="str">
        <f t="shared" si="11"/>
        <v>014</v>
      </c>
      <c r="AN15" t="s">
        <v>1041</v>
      </c>
      <c r="AO15" s="27" t="e">
        <f>CONCATENATE("{{Element|Ordnungszahl=",A15,"|Symbol=",B15,"|Name=",C15,"|Atommasse=",#REF!,"|EN=",E15,"|BP=",F15,"|MP=",G15,"|Dichte=",H15,"|Ionenradius=",L15,"|Ivolt=",N15,"|Aradius=",M15)</f>
        <v>#REF!</v>
      </c>
      <c r="AP15" s="27" t="str">
        <f t="shared" si="4"/>
        <v>|Enthalpie=455.6|IVolt2=1577,15|Wert=4|IVolt3=3231,61|Farbe=dunkelgrau|Flamme=|Elektronenkonfiguration=[Ne] 3s2p2|EK-Wiki=[Ne] 3s&lt;sup&gt;2&lt;/sup&gt;p&lt;sup&gt;2&lt;/sup&gt;|pre=Aluminium|next=Phosphor|Metall=Halbmetall|E-Name=Silicon|L-Name=</v>
      </c>
      <c r="AQ15" s="27" t="str">
        <f t="shared" si="5"/>
        <v>|Verwendung=|Wortherkunft=er Begriff Silizium leitet sich vom lateinischen Wort ''silex'' (Kieselstein, Feuerstein) ab. Er bringt zum Ausdruck, dass Silizium häufiger Bestandteil vieler Minerale ist.|L-Abk. bzw. redirect=#REDIRECT [[Silicium]]|radioaktiv=|hoch=Kohlenstoff|runter=Germanium|Bild-Element=|Bild-Verwendung=|www= wurde 1823 in Schweden durch Berzelius entdeckt.|E-Gruppe=|Sonstiges-kurz=|OZ3=014|WL=Sammlung|Text= }}
[[Kategorie:Chemie]][[Kategorie:Chemikalien]]</v>
      </c>
      <c r="AR15" s="31" t="e">
        <f t="shared" si="1"/>
        <v>#REF!</v>
      </c>
      <c r="AS15" t="str">
        <f t="shared" si="6"/>
        <v xml:space="preserve"> wurde 1823 in Schweden durch Berzelius entdeckt. http://www.webelements.com/webelements/elements/media/element-pics/Si.jpg</v>
      </c>
    </row>
    <row r="16" spans="1:45" ht="18" customHeight="1">
      <c r="A16">
        <v>15</v>
      </c>
      <c r="B16" t="s">
        <v>924</v>
      </c>
      <c r="C16" t="s">
        <v>925</v>
      </c>
      <c r="D16">
        <v>30.974</v>
      </c>
      <c r="E16">
        <v>2.1</v>
      </c>
      <c r="F16" s="36" t="s">
        <v>496</v>
      </c>
      <c r="G16" s="54" t="s">
        <v>497</v>
      </c>
      <c r="H16" s="42" t="s">
        <v>1241</v>
      </c>
      <c r="I16">
        <v>1669</v>
      </c>
      <c r="J16" t="s">
        <v>203</v>
      </c>
      <c r="K16" t="s">
        <v>926</v>
      </c>
      <c r="L16">
        <v>44</v>
      </c>
      <c r="M16" s="56" t="s">
        <v>1269</v>
      </c>
      <c r="N16" s="30">
        <v>1011.82</v>
      </c>
      <c r="O16" t="s">
        <v>927</v>
      </c>
      <c r="P16" s="30">
        <v>1907.47</v>
      </c>
      <c r="Q16">
        <v>2</v>
      </c>
      <c r="R16" s="30">
        <v>2914.14</v>
      </c>
      <c r="S16" t="s">
        <v>928</v>
      </c>
      <c r="U16" t="s">
        <v>614</v>
      </c>
      <c r="V16" t="s">
        <v>724</v>
      </c>
      <c r="W16" t="str">
        <f t="shared" si="7"/>
        <v>Silicium</v>
      </c>
      <c r="X16" t="str">
        <f t="shared" si="0"/>
        <v>Schwefel</v>
      </c>
      <c r="Y16" t="s">
        <v>810</v>
      </c>
      <c r="Z16" s="16" t="s">
        <v>854</v>
      </c>
      <c r="AA16" s="35"/>
      <c r="AB16" s="16"/>
      <c r="AC16" s="28" t="s">
        <v>1022</v>
      </c>
      <c r="AD16" s="27" t="str">
        <f t="shared" si="10"/>
        <v>#REDIRECT [[Phosphor]]</v>
      </c>
      <c r="AE16" s="7"/>
      <c r="AF16" t="str">
        <f>C8</f>
        <v>Stickstoff</v>
      </c>
      <c r="AG16" t="str">
        <f t="shared" si="12"/>
        <v>Arsen</v>
      </c>
      <c r="AJ16" t="str">
        <f t="shared" si="2"/>
        <v xml:space="preserve"> wurde 1669 in Deutschland durch Brand entdeckt.</v>
      </c>
      <c r="AM16" t="str">
        <f t="shared" si="11"/>
        <v>015</v>
      </c>
      <c r="AN16" t="s">
        <v>1041</v>
      </c>
      <c r="AO16" s="27" t="e">
        <f>CONCATENATE("{{Element|Ordnungszahl=",A16,"|Symbol=",B16,"|Name=",C16,"|Atommasse=",#REF!,"|EN=",E16,"|BP=",F16,"|MP=",G16,"|Dichte=",H16,"|Ionenradius=",L16,"|Ivolt=",N16,"|Aradius=",M16)</f>
        <v>#REF!</v>
      </c>
      <c r="AP16" s="27" t="str">
        <f t="shared" si="4"/>
        <v>|Enthalpie=314.6|IVolt2=1907,47|Wert=2|IVolt3=2914,14|Farbe=weiß/rot|Flamme=|Elektronenkonfiguration=[Ne] 3s2p3|EK-Wiki=[Ne] 3s&lt;sup&gt;2&lt;/sup&gt;p&lt;sup&gt;3&lt;/sup&gt;|pre=Silicium|next=Schwefel|Metall=Nichtmetall|E-Name=Phosphorus|L-Name=</v>
      </c>
      <c r="AQ16" s="27" t="str">
        <f t="shared" si="5"/>
        <v>|Verwendung=|Wortherkunft=Phosphor''' (von griechische Sprache|griechisch φως-φορος = lichttragend, vom Leuchten des weißen Phosphors). Phosphor wurde 1669 von Hennig Brand, einem deutschen Apotheker und Alchemisten, entdeckt, als dieser - auf der Suche nach dem "Stein der Weisen" - Urin destillierte und der Rückstand glühte.|L-Abk. bzw. redirect=#REDIRECT [[Phosphor]]|radioaktiv=|hoch=Stickstoff|runter=Arsen|Bild-Element=|Bild-Verwendung=|www= wurde 1669 in Deutschland durch Brand entdeckt.|E-Gruppe=|Sonstiges-kurz=|OZ3=015|WL=Sammlung|Text= }}
[[Kategorie:Chemie]][[Kategorie:Chemikalien]]</v>
      </c>
      <c r="AR16" s="31" t="e">
        <f t="shared" si="1"/>
        <v>#REF!</v>
      </c>
      <c r="AS16" t="str">
        <f t="shared" si="6"/>
        <v xml:space="preserve"> wurde 1669 in Deutschland durch Brand entdeckt. http://www.webelements.com/webelements/elements/media/element-pics/P.jpg</v>
      </c>
    </row>
    <row r="17" spans="1:45" ht="18" customHeight="1">
      <c r="A17">
        <v>16</v>
      </c>
      <c r="B17" t="s">
        <v>929</v>
      </c>
      <c r="C17" t="s">
        <v>930</v>
      </c>
      <c r="D17">
        <v>32.06</v>
      </c>
      <c r="E17">
        <v>2.5</v>
      </c>
      <c r="F17" s="36" t="s">
        <v>498</v>
      </c>
      <c r="G17" s="54" t="s">
        <v>1117</v>
      </c>
      <c r="H17" t="s">
        <v>1101</v>
      </c>
      <c r="I17" t="s">
        <v>812</v>
      </c>
      <c r="L17">
        <v>29</v>
      </c>
      <c r="M17" s="56" t="s">
        <v>1269</v>
      </c>
      <c r="N17" s="30">
        <v>999.6</v>
      </c>
      <c r="O17" t="s">
        <v>931</v>
      </c>
      <c r="P17" s="30">
        <v>2251.7800000000002</v>
      </c>
      <c r="Q17">
        <v>4</v>
      </c>
      <c r="R17" s="30">
        <v>3356.75</v>
      </c>
      <c r="S17" t="s">
        <v>911</v>
      </c>
      <c r="U17" t="s">
        <v>615</v>
      </c>
      <c r="V17" t="s">
        <v>726</v>
      </c>
      <c r="W17" t="str">
        <f t="shared" si="7"/>
        <v>Phosphor</v>
      </c>
      <c r="X17" t="str">
        <f t="shared" si="0"/>
        <v>Chlor</v>
      </c>
      <c r="Y17" t="s">
        <v>810</v>
      </c>
      <c r="Z17" s="16" t="s">
        <v>834</v>
      </c>
      <c r="AA17" s="35"/>
      <c r="AB17" s="16"/>
      <c r="AC17" s="27" t="s">
        <v>1053</v>
      </c>
      <c r="AD17" s="27" t="str">
        <f t="shared" si="10"/>
        <v>#REDIRECT [[Schwefel]]</v>
      </c>
      <c r="AE17" s="7"/>
      <c r="AF17" t="str">
        <f>C9</f>
        <v>Sauerstoff</v>
      </c>
      <c r="AG17" t="str">
        <f t="shared" si="12"/>
        <v>Selen</v>
      </c>
      <c r="AJ17" t="s">
        <v>965</v>
      </c>
      <c r="AM17" t="str">
        <f t="shared" si="11"/>
        <v>016</v>
      </c>
      <c r="AN17" t="s">
        <v>1041</v>
      </c>
      <c r="AO17" s="27" t="e">
        <f>CONCATENATE("{{Element|Ordnungszahl=",A17,"|Symbol=",B17,"|Name=",C17,"|Atommasse=",#REF!,"|EN=",E17,"|BP=",F17,"|MP=",G17,"|Dichte=",H17,"|Ionenradius=",L17,"|Ivolt=",N17,"|Aradius=",M17)</f>
        <v>#REF!</v>
      </c>
      <c r="AP17" s="27" t="str">
        <f t="shared" si="4"/>
        <v>|Enthalpie=278.8|IVolt2=2251,78|Wert=4|IVolt3=3356,75|Farbe=gelb|Flamme=|Elektronenkonfiguration=[Ne] 3s2p4|EK-Wiki=[Ne] 3s&lt;sup&gt;2&lt;/sup&gt;p&lt;sup&gt;4&lt;/sup&gt;|pre=Phosphor|next=Chlor|Metall=Nichtmetall|E-Name=Sulfur|L-Name=</v>
      </c>
      <c r="AQ17" s="27" t="str">
        <f t="shared" si="5"/>
        <v>|Verwendung=|Wortherkunft=Schwefel (chemisch nach dem Lateinischen Sulphur oder Sulfur genannt, im Deutschen eventuell vom Indogermanischen *suel- „schwelen" abgeleitet). |L-Abk. bzw. redirect=#REDIRECT [[Schwefel]]|radioaktiv=|hoch=Sauerstoff|runter=Selen|Bild-Element=|Bild-Verwendung=|www= ist seit dem Altertum bekannt.|E-Gruppe=|Sonstiges-kurz=|OZ3=016|WL=Sammlung|Text= }}
[[Kategorie:Chemie]][[Kategorie:Chemikalien]]</v>
      </c>
      <c r="AR17" s="31" t="e">
        <f t="shared" si="1"/>
        <v>#REF!</v>
      </c>
      <c r="AS17" t="str">
        <f t="shared" si="6"/>
        <v xml:space="preserve"> ist seit dem Altertum bekannt. http://www.webelements.com/webelements/elements/media/element-pics/S.jpg</v>
      </c>
    </row>
    <row r="18" spans="1:45" ht="18" customHeight="1">
      <c r="A18">
        <v>17</v>
      </c>
      <c r="B18" t="s">
        <v>932</v>
      </c>
      <c r="C18" t="s">
        <v>933</v>
      </c>
      <c r="D18">
        <v>35.450000000000003</v>
      </c>
      <c r="E18">
        <v>3</v>
      </c>
      <c r="F18" s="36" t="s">
        <v>499</v>
      </c>
      <c r="G18" s="54" t="s">
        <v>1118</v>
      </c>
      <c r="H18" s="42" t="s">
        <v>1250</v>
      </c>
      <c r="I18">
        <v>1774</v>
      </c>
      <c r="J18" t="s">
        <v>198</v>
      </c>
      <c r="K18" t="s">
        <v>882</v>
      </c>
      <c r="L18">
        <v>181</v>
      </c>
      <c r="M18" s="56" t="s">
        <v>1269</v>
      </c>
      <c r="N18" s="30">
        <v>1251.2</v>
      </c>
      <c r="O18" t="s">
        <v>934</v>
      </c>
      <c r="P18" s="30">
        <v>2297.7199999999998</v>
      </c>
      <c r="Q18">
        <v>6</v>
      </c>
      <c r="R18" s="30">
        <v>3821.81</v>
      </c>
      <c r="S18" t="s">
        <v>8</v>
      </c>
      <c r="U18" t="s">
        <v>616</v>
      </c>
      <c r="V18" t="s">
        <v>728</v>
      </c>
      <c r="W18" t="str">
        <f t="shared" si="7"/>
        <v>Schwefel</v>
      </c>
      <c r="X18" t="str">
        <f t="shared" si="0"/>
        <v>Argon</v>
      </c>
      <c r="Y18" t="s">
        <v>810</v>
      </c>
      <c r="Z18" s="16" t="s">
        <v>842</v>
      </c>
      <c r="AA18" s="35"/>
      <c r="AB18" s="16"/>
      <c r="AC18" s="27" t="s">
        <v>1023</v>
      </c>
      <c r="AD18" s="27" t="str">
        <f t="shared" si="10"/>
        <v>#REDIRECT [[Chlor]]</v>
      </c>
      <c r="AE18" s="7"/>
      <c r="AF18" t="str">
        <f>C10</f>
        <v>Fluor</v>
      </c>
      <c r="AG18" t="str">
        <f t="shared" si="12"/>
        <v>Brom</v>
      </c>
      <c r="AJ18" t="str">
        <f t="shared" si="2"/>
        <v xml:space="preserve"> wurde 1774 in Schweden durch Scheele entdeckt.</v>
      </c>
      <c r="AM18" t="str">
        <f t="shared" si="11"/>
        <v>017</v>
      </c>
      <c r="AN18" t="s">
        <v>1041</v>
      </c>
      <c r="AO18" s="27" t="e">
        <f>CONCATENATE("{{Element|Ordnungszahl=",A18,"|Symbol=",B18,"|Name=",C18,"|Atommasse=",#REF!,"|EN=",E18,"|BP=",F18,"|MP=",G18,"|Dichte=",H18,"|Ionenradius=",L18,"|Ivolt=",N18,"|Aradius=",M18)</f>
        <v>#REF!</v>
      </c>
      <c r="AP18" s="27" t="str">
        <f t="shared" si="4"/>
        <v>|Enthalpie=121.7|IVolt2=2297,72|Wert=6|IVolt3=3821,81|Farbe=gelb-grün|Flamme=|Elektronenkonfiguration=[Ne] 3s2p5|EK-Wiki=[Ne] 3s&lt;sup&gt;2&lt;/sup&gt;p&lt;sup&gt;5&lt;/sup&gt;|pre=Schwefel|next=Argon|Metall=Nichtmetall|E-Name=Chlorine|L-Name=</v>
      </c>
      <c r="AQ18" s="27" t="str">
        <f t="shared" si="5"/>
        <v>|Verwendung=|Wortherkunft=Chlor (von griechisch chlorós = gelblich grün, wegen der gelbgrünen Farbe von Chlorgas)|L-Abk. bzw. redirect=#REDIRECT [[Chlor]]|radioaktiv=|hoch=Fluor|runter=Brom|Bild-Element=|Bild-Verwendung=|www= wurde 1774 in Schweden durch Scheele entdeckt.|E-Gruppe=|Sonstiges-kurz=|OZ3=017|WL=Sammlung|Text= }}
[[Kategorie:Chemie]][[Kategorie:Chemikalien]]</v>
      </c>
      <c r="AR18" s="31" t="e">
        <f t="shared" si="1"/>
        <v>#REF!</v>
      </c>
      <c r="AS18" t="str">
        <f t="shared" si="6"/>
        <v xml:space="preserve"> wurde 1774 in Schweden durch Scheele entdeckt. http://www.webelements.com/webelements/elements/media/element-pics/Cl.jpg</v>
      </c>
    </row>
    <row r="19" spans="1:45" ht="18" customHeight="1">
      <c r="A19">
        <v>18</v>
      </c>
      <c r="B19" t="s">
        <v>9</v>
      </c>
      <c r="C19" t="s">
        <v>10</v>
      </c>
      <c r="D19">
        <v>39.948</v>
      </c>
      <c r="E19">
        <v>0</v>
      </c>
      <c r="F19" s="36" t="s">
        <v>500</v>
      </c>
      <c r="G19" s="54" t="s">
        <v>501</v>
      </c>
      <c r="H19" s="42" t="s">
        <v>1251</v>
      </c>
      <c r="I19">
        <v>1895</v>
      </c>
      <c r="J19" t="s">
        <v>204</v>
      </c>
      <c r="K19" t="s">
        <v>879</v>
      </c>
      <c r="L19" t="s">
        <v>874</v>
      </c>
      <c r="M19" s="56" t="s">
        <v>1270</v>
      </c>
      <c r="N19" s="30">
        <v>1520.58</v>
      </c>
      <c r="O19">
        <v>0</v>
      </c>
      <c r="P19" s="30">
        <v>2665.88</v>
      </c>
      <c r="Q19" t="s">
        <v>874</v>
      </c>
      <c r="R19" s="30">
        <v>3930.84</v>
      </c>
      <c r="S19" t="s">
        <v>875</v>
      </c>
      <c r="U19" t="s">
        <v>617</v>
      </c>
      <c r="V19" t="s">
        <v>730</v>
      </c>
      <c r="W19" t="str">
        <f t="shared" si="7"/>
        <v>Chlor</v>
      </c>
      <c r="X19" t="str">
        <f t="shared" si="0"/>
        <v>Kalium</v>
      </c>
      <c r="Y19" t="s">
        <v>810</v>
      </c>
      <c r="Z19" s="16" t="s">
        <v>10</v>
      </c>
      <c r="AA19" s="35"/>
      <c r="AB19" s="16"/>
      <c r="AC19" s="27" t="s">
        <v>1026</v>
      </c>
      <c r="AD19" s="27" t="str">
        <f t="shared" si="10"/>
        <v>#REDIRECT [[Argon]]</v>
      </c>
      <c r="AE19" s="7"/>
      <c r="AF19" t="s">
        <v>907</v>
      </c>
      <c r="AG19" t="str">
        <f t="shared" si="12"/>
        <v>Krypton</v>
      </c>
      <c r="AJ19" t="str">
        <f t="shared" si="2"/>
        <v xml:space="preserve"> wurde 1895 in Schottland durch Rayleigh, Ramsay entdeckt.</v>
      </c>
      <c r="AM19" t="str">
        <f t="shared" si="11"/>
        <v>018</v>
      </c>
      <c r="AN19" t="s">
        <v>1041</v>
      </c>
      <c r="AO19" s="27" t="e">
        <f>CONCATENATE("{{Element|Ordnungszahl=",A19,"|Symbol=",B19,"|Name=",C19,"|Atommasse=",#REF!,"|EN=",E19,"|BP=",F19,"|MP=",G19,"|Dichte=",H19,"|Ionenradius=",L19,"|Ivolt=",N19,"|Aradius=",M19)</f>
        <v>#REF!</v>
      </c>
      <c r="AP19" s="27" t="str">
        <f t="shared" si="4"/>
        <v>|Enthalpie=0|IVolt2=2665,88|Wert=-|IVolt3=3930,84|Farbe=farblos|Flamme=|Elektronenkonfiguration=[Ne] 3s2p6|EK-Wiki=[Ne] 3s&lt;sup&gt;2&lt;/sup&gt;p&lt;sup&gt;6&lt;/sup&gt;|pre=Chlor|next=Kalium|Metall=Nichtmetall|E-Name=Argon|L-Name=</v>
      </c>
      <c r="AQ19" s="27" t="str">
        <f t="shared" si="5"/>
        <v>|Verwendung=|Wortherkunft=Argon hat seine Bezeichnung vom griechischen Wort argon - das träge Element - wegen seiner chemischen Reaktionsträgheit|L-Abk. bzw. redirect=#REDIRECT [[Argon]]|radioaktiv=|hoch=Neon|runter=Krypton|Bild-Element=|Bild-Verwendung=|www= wurde 1895 in Schottland durch Rayleigh, Ramsay entdeckt.|E-Gruppe=|Sonstiges-kurz=|OZ3=018|WL=Sammlung|Text= }}
[[Kategorie:Chemie]][[Kategorie:Chemikalien]]</v>
      </c>
      <c r="AR19" s="31" t="e">
        <f t="shared" si="1"/>
        <v>#REF!</v>
      </c>
      <c r="AS19" t="str">
        <f t="shared" si="6"/>
        <v xml:space="preserve"> wurde 1895 in Schottland durch Rayleigh, Ramsay entdeckt. http://www.webelements.com/webelements/elements/media/element-pics/Ar.jpg</v>
      </c>
    </row>
    <row r="20" spans="1:45" ht="18" customHeight="1">
      <c r="A20">
        <v>19</v>
      </c>
      <c r="B20" t="s">
        <v>11</v>
      </c>
      <c r="C20" t="s">
        <v>12</v>
      </c>
      <c r="D20">
        <v>39.097999999999999</v>
      </c>
      <c r="E20">
        <v>0.8</v>
      </c>
      <c r="F20" s="36" t="s">
        <v>1174</v>
      </c>
      <c r="G20" s="54" t="s">
        <v>1119</v>
      </c>
      <c r="H20" s="42" t="s">
        <v>1220</v>
      </c>
      <c r="I20">
        <v>1807</v>
      </c>
      <c r="J20" t="s">
        <v>200</v>
      </c>
      <c r="K20" t="s">
        <v>873</v>
      </c>
      <c r="L20">
        <v>133</v>
      </c>
      <c r="M20" s="56" t="s">
        <v>1271</v>
      </c>
      <c r="N20" s="30">
        <v>418.81</v>
      </c>
      <c r="O20" t="s">
        <v>13</v>
      </c>
      <c r="P20" s="30">
        <v>3051.85</v>
      </c>
      <c r="Q20">
        <v>1</v>
      </c>
      <c r="R20" s="30">
        <v>4419.6400000000003</v>
      </c>
      <c r="S20" t="s">
        <v>1033</v>
      </c>
      <c r="T20" t="s">
        <v>14</v>
      </c>
      <c r="U20" t="s">
        <v>618</v>
      </c>
      <c r="V20" t="s">
        <v>706</v>
      </c>
      <c r="W20" t="str">
        <f t="shared" si="7"/>
        <v>Argon</v>
      </c>
      <c r="X20" t="str">
        <f t="shared" si="0"/>
        <v>Calcium</v>
      </c>
      <c r="Y20" t="s">
        <v>809</v>
      </c>
      <c r="Z20" s="16" t="s">
        <v>857</v>
      </c>
      <c r="AA20" s="35"/>
      <c r="AB20" s="16"/>
      <c r="AC20" s="28" t="s">
        <v>1027</v>
      </c>
      <c r="AD20" s="27" t="str">
        <f t="shared" si="10"/>
        <v>#REDIRECT [[Kalium]]</v>
      </c>
      <c r="AE20" s="7"/>
      <c r="AF20" t="str">
        <f>C12</f>
        <v>Natrium</v>
      </c>
      <c r="AG20" t="str">
        <f t="shared" si="12"/>
        <v>Rubidium</v>
      </c>
      <c r="AJ20" t="str">
        <f t="shared" si="2"/>
        <v xml:space="preserve"> wurde 1807 in England durch Davy entdeckt.</v>
      </c>
      <c r="AM20" t="str">
        <f t="shared" si="11"/>
        <v>019</v>
      </c>
      <c r="AN20" t="s">
        <v>1041</v>
      </c>
      <c r="AO20" s="27" t="e">
        <f>CONCATENATE("{{Element|Ordnungszahl=",A20,"|Symbol=",B20,"|Name=",C20,"|Atommasse=",#REF!,"|EN=",E20,"|BP=",F20,"|MP=",G20,"|Dichte=",H20,"|Ionenradius=",L20,"|Ivolt=",N20,"|Aradius=",M20)</f>
        <v>#REF!</v>
      </c>
      <c r="AP20" s="27" t="str">
        <f t="shared" si="4"/>
        <v>|Enthalpie=89.2|IVolt2=3051,85|Wert=1|IVolt3=4419,64|Farbe=silbrig|Flamme=violett|Elektronenkonfiguration=[Ar] 4s1|EK-Wiki=[Ar] 4s&lt;sup&gt;1&lt;/sup&gt;|pre=Argon|next=Calcium|Metall=Metall|E-Name=Potassium|L-Name=</v>
      </c>
      <c r="AQ20" s="27" t="str">
        <f t="shared" si="5"/>
        <v>|Verwendung=|Wortherkunft='Kalium''', (von Kali aus Arabische Sprache|arab. ''al qalja'' = Pflanzenasche).  Kalium (von arab.: al-qali = Asche, aus Pflanzenasche gewinnbar)|L-Abk. bzw. redirect=#REDIRECT [[Kalium]]|radioaktiv=|hoch=Natrium|runter=Rubidium|Bild-Element=|Bild-Verwendung=|www= wurde 1807 in England durch Davy entdeckt.|E-Gruppe=|Sonstiges-kurz=|OZ3=019|WL=Sammlung|Text= }}
[[Kategorie:Chemie]][[Kategorie:Chemikalien]]</v>
      </c>
      <c r="AR20" s="31" t="e">
        <f t="shared" si="1"/>
        <v>#REF!</v>
      </c>
      <c r="AS20" t="str">
        <f t="shared" si="6"/>
        <v xml:space="preserve"> wurde 1807 in England durch Davy entdeckt. http://www.webelements.com/webelements/elements/media/element-pics/K.jpg</v>
      </c>
    </row>
    <row r="21" spans="1:45" ht="18" customHeight="1">
      <c r="A21">
        <v>20</v>
      </c>
      <c r="B21" t="s">
        <v>15</v>
      </c>
      <c r="C21" t="s">
        <v>16</v>
      </c>
      <c r="D21">
        <v>40.078000000000003</v>
      </c>
      <c r="E21">
        <v>1</v>
      </c>
      <c r="F21" s="36" t="s">
        <v>1175</v>
      </c>
      <c r="G21" s="54" t="s">
        <v>1120</v>
      </c>
      <c r="H21" s="42" t="s">
        <v>572</v>
      </c>
      <c r="I21">
        <v>1808</v>
      </c>
      <c r="J21" t="s">
        <v>200</v>
      </c>
      <c r="K21" t="s">
        <v>873</v>
      </c>
      <c r="L21">
        <v>106</v>
      </c>
      <c r="M21" s="56" t="s">
        <v>1265</v>
      </c>
      <c r="N21" s="30">
        <v>589.83000000000004</v>
      </c>
      <c r="O21" t="s">
        <v>17</v>
      </c>
      <c r="P21" s="30">
        <v>1145.46</v>
      </c>
      <c r="Q21">
        <v>2</v>
      </c>
      <c r="R21" s="30">
        <v>4912.3999999999996</v>
      </c>
      <c r="S21" t="s">
        <v>1035</v>
      </c>
      <c r="T21" t="s">
        <v>18</v>
      </c>
      <c r="U21" t="s">
        <v>619</v>
      </c>
      <c r="V21" t="s">
        <v>714</v>
      </c>
      <c r="W21" t="str">
        <f t="shared" si="7"/>
        <v>Kalium</v>
      </c>
      <c r="X21" t="str">
        <f t="shared" si="0"/>
        <v>Scandium</v>
      </c>
      <c r="Y21" t="s">
        <v>809</v>
      </c>
      <c r="Z21" s="16" t="s">
        <v>16</v>
      </c>
      <c r="AA21" s="35"/>
      <c r="AB21" s="16"/>
      <c r="AC21" s="27" t="s">
        <v>300</v>
      </c>
      <c r="AD21" s="27" t="str">
        <f t="shared" si="10"/>
        <v>#REDIRECT [[Calcium]]</v>
      </c>
      <c r="AE21" s="7"/>
      <c r="AF21" t="s">
        <v>913</v>
      </c>
      <c r="AG21" t="str">
        <f t="shared" si="12"/>
        <v>Strontium</v>
      </c>
      <c r="AJ21" t="str">
        <f t="shared" si="2"/>
        <v xml:space="preserve"> wurde 1808 in England durch Davy entdeckt.</v>
      </c>
      <c r="AM21" t="str">
        <f t="shared" si="11"/>
        <v>020</v>
      </c>
      <c r="AN21" t="s">
        <v>1041</v>
      </c>
      <c r="AO21" s="27" t="e">
        <f>CONCATENATE("{{Element|Ordnungszahl=",A21,"|Symbol=",B21,"|Name=",C21,"|Atommasse=",#REF!,"|EN=",E21,"|BP=",F21,"|MP=",G21,"|Dichte=",H21,"|Ionenradius=",L21,"|Ivolt=",N21,"|Aradius=",M21)</f>
        <v>#REF!</v>
      </c>
      <c r="AP21" s="27" t="str">
        <f t="shared" si="4"/>
        <v>|Enthalpie=178.2|IVolt2=1145,46|Wert=2|IVolt3=4912,4|Farbe=silbrig-weiß|Flamme=ziegelrot|Elektronenkonfiguration=[Ar] 4s2|EK-Wiki=[Ar] 4s&lt;sup&gt;2&lt;/sup&gt;|pre=Kalium|next=Scandium|Metall=Metall|E-Name=Calcium|L-Name=</v>
      </c>
      <c r="AQ21" s="27" t="str">
        <f t="shared" si="5"/>
        <v>|Verwendung=|Wortherkunft=Die Elementbezeichnug leitet sich von dem lateinischen ''calx'' ab. So bezeichneten die Römer Kalkstein, Kreide und daraus hergestellten Mörtel.|L-Abk. bzw. redirect=#REDIRECT [[Calcium]]|radioaktiv=|hoch=Magnesium|runter=Strontium|Bild-Element=|Bild-Verwendung=|www= wurde 1808 in England durch Davy entdeckt.|E-Gruppe=|Sonstiges-kurz=|OZ3=020|WL=Sammlung|Text= }}
[[Kategorie:Chemie]][[Kategorie:Chemikalien]]</v>
      </c>
      <c r="AR21" s="31" t="e">
        <f t="shared" si="1"/>
        <v>#REF!</v>
      </c>
      <c r="AS21" t="str">
        <f t="shared" si="6"/>
        <v xml:space="preserve"> wurde 1808 in England durch Davy entdeckt. http://www.webelements.com/webelements/elements/media/element-pics/Ca.jpg</v>
      </c>
    </row>
    <row r="22" spans="1:45" ht="18" customHeight="1">
      <c r="A22">
        <v>21</v>
      </c>
      <c r="B22" t="s">
        <v>19</v>
      </c>
      <c r="C22" t="s">
        <v>20</v>
      </c>
      <c r="D22">
        <v>44.956000000000003</v>
      </c>
      <c r="E22">
        <v>1.3</v>
      </c>
      <c r="F22" s="36" t="s">
        <v>1076</v>
      </c>
      <c r="G22" s="54" t="s">
        <v>1121</v>
      </c>
      <c r="H22" s="42" t="s">
        <v>448</v>
      </c>
      <c r="I22">
        <v>1879</v>
      </c>
      <c r="J22" t="s">
        <v>205</v>
      </c>
      <c r="K22" t="s">
        <v>882</v>
      </c>
      <c r="L22">
        <v>83</v>
      </c>
      <c r="M22" s="56" t="s">
        <v>1272</v>
      </c>
      <c r="N22" s="30">
        <v>633.09</v>
      </c>
      <c r="O22" t="s">
        <v>21</v>
      </c>
      <c r="P22" s="30">
        <v>1234.99</v>
      </c>
      <c r="Q22">
        <v>3</v>
      </c>
      <c r="R22" s="30">
        <v>2388.67</v>
      </c>
      <c r="S22" t="s">
        <v>1035</v>
      </c>
      <c r="U22" t="s">
        <v>620</v>
      </c>
      <c r="V22" t="s">
        <v>731</v>
      </c>
      <c r="W22" t="str">
        <f t="shared" si="7"/>
        <v>Calcium</v>
      </c>
      <c r="X22" t="str">
        <f t="shared" si="0"/>
        <v>Titan</v>
      </c>
      <c r="Y22" t="s">
        <v>809</v>
      </c>
      <c r="Z22" s="16" t="s">
        <v>20</v>
      </c>
      <c r="AA22" s="35"/>
      <c r="AB22" s="16"/>
      <c r="AC22" s="27" t="s">
        <v>141</v>
      </c>
      <c r="AD22" s="27" t="str">
        <f t="shared" si="10"/>
        <v>#REDIRECT [[Scandium]]</v>
      </c>
      <c r="AE22" s="7"/>
      <c r="AF22" t="str">
        <f>C22</f>
        <v>Scandium</v>
      </c>
      <c r="AG22" t="str">
        <f t="shared" si="12"/>
        <v>Yttrium</v>
      </c>
      <c r="AJ22" t="str">
        <f t="shared" si="2"/>
        <v xml:space="preserve"> wurde 1879 in Schweden durch Nilson entdeckt.</v>
      </c>
      <c r="AM22" t="str">
        <f t="shared" si="11"/>
        <v>021</v>
      </c>
      <c r="AN22" t="s">
        <v>1042</v>
      </c>
      <c r="AO22" s="27" t="e">
        <f>CONCATENATE("{{Element|Ordnungszahl=",A22,"|Symbol=",B22,"|Name=",C22,"|Atommasse=",#REF!,"|EN=",E22,"|BP=",F22,"|MP=",G22,"|Dichte=",H22,"|Ionenradius=",L22,"|Ivolt=",N22,"|Aradius=",M22)</f>
        <v>#REF!</v>
      </c>
      <c r="AP22" s="27" t="str">
        <f t="shared" si="4"/>
        <v>|Enthalpie=377.8|IVolt2=1234,99|Wert=3|IVolt3=2388,67|Farbe=silbrig-weiß|Flamme=|Elektronenkonfiguration=[Ar] 4s2 3d1|EK-Wiki=[Ar] 4s&lt;sup&gt;2&lt;/sup&gt; 3d&lt;sup&gt;1&lt;/sup&gt;|pre=Calcium|next=Titan|Metall=Metall|E-Name=Scandium|L-Name=</v>
      </c>
      <c r="AQ22" s="27" t="str">
        <f t="shared" si="5"/>
        <v>|Verwendung=|Wortherkunft=Scandium (lat. Scandia für Skandinavien)|L-Abk. bzw. redirect=#REDIRECT [[Scandium]]|radioaktiv=|hoch=Scandium|runter=Yttrium|Bild-Element=|Bild-Verwendung=|www= wurde 1879 in Schweden durch Nilson entdeckt.|E-Gruppe=|Sonstiges-kurz=|OZ3=021|WL=nichda|Text= }}
[[Kategorie:Chemie]][[Kategorie:Chemikalien]]</v>
      </c>
      <c r="AR22" s="31" t="e">
        <f t="shared" si="1"/>
        <v>#REF!</v>
      </c>
      <c r="AS22" t="str">
        <f t="shared" si="6"/>
        <v xml:space="preserve"> wurde 1879 in Schweden durch Nilson entdeckt. http://www.webelements.com/webelements/elements/media/element-pics/Sc.jpg</v>
      </c>
    </row>
    <row r="23" spans="1:45" ht="18" customHeight="1">
      <c r="A23">
        <v>22</v>
      </c>
      <c r="B23" t="s">
        <v>22</v>
      </c>
      <c r="C23" t="s">
        <v>23</v>
      </c>
      <c r="D23">
        <v>47.866999999999997</v>
      </c>
      <c r="E23">
        <v>1.5</v>
      </c>
      <c r="F23" s="36" t="s">
        <v>1077</v>
      </c>
      <c r="G23" s="54" t="s">
        <v>1122</v>
      </c>
      <c r="H23" s="42" t="s">
        <v>1221</v>
      </c>
      <c r="I23">
        <v>1795</v>
      </c>
      <c r="J23" t="s">
        <v>180</v>
      </c>
      <c r="K23" t="s">
        <v>873</v>
      </c>
      <c r="L23">
        <v>61</v>
      </c>
      <c r="M23" s="56" t="s">
        <v>1273</v>
      </c>
      <c r="N23" s="30">
        <v>658.82</v>
      </c>
      <c r="O23" t="s">
        <v>24</v>
      </c>
      <c r="P23" s="30">
        <v>1309.8499999999999</v>
      </c>
      <c r="Q23">
        <v>6</v>
      </c>
      <c r="R23" s="30">
        <v>2652.56</v>
      </c>
      <c r="S23" t="s">
        <v>1029</v>
      </c>
      <c r="U23" t="s">
        <v>621</v>
      </c>
      <c r="V23" t="s">
        <v>736</v>
      </c>
      <c r="W23" t="str">
        <f t="shared" si="7"/>
        <v>Scandium</v>
      </c>
      <c r="X23" t="str">
        <f t="shared" si="0"/>
        <v>Vanadium</v>
      </c>
      <c r="Y23" t="s">
        <v>809</v>
      </c>
      <c r="Z23" s="16" t="s">
        <v>850</v>
      </c>
      <c r="AA23" s="35"/>
      <c r="AB23" s="16"/>
      <c r="AC23" s="27" t="s">
        <v>142</v>
      </c>
      <c r="AD23" s="27" t="str">
        <f t="shared" si="10"/>
        <v>#REDIRECT [[Titan]]</v>
      </c>
      <c r="AE23" s="7"/>
      <c r="AF23" t="str">
        <f t="shared" ref="AF23:AF31" si="13">C23</f>
        <v>Titan</v>
      </c>
      <c r="AG23" t="str">
        <f t="shared" si="12"/>
        <v>Zirconium</v>
      </c>
      <c r="AJ23" t="str">
        <f t="shared" si="2"/>
        <v xml:space="preserve"> wurde 1795 in England durch Klaproth entdeckt.</v>
      </c>
      <c r="AM23" t="str">
        <f t="shared" si="11"/>
        <v>022</v>
      </c>
      <c r="AN23" t="s">
        <v>1041</v>
      </c>
      <c r="AO23" s="27" t="e">
        <f>CONCATENATE("{{Element|Ordnungszahl=",A23,"|Symbol=",B23,"|Name=",C23,"|Atommasse=",#REF!,"|EN=",E23,"|BP=",F23,"|MP=",G23,"|Dichte=",H23,"|Ionenradius=",L23,"|Ivolt=",N23,"|Aradius=",M23)</f>
        <v>#REF!</v>
      </c>
      <c r="AP23" s="27" t="str">
        <f t="shared" si="4"/>
        <v>|Enthalpie=469.9|IVolt2=1309,85|Wert=6|IVolt3=2652,56|Farbe=silbrig-grau|Flamme=|Elektronenkonfiguration=[Ar] 4s2 3d2|EK-Wiki=[Ar] 4s&lt;sup&gt;2&lt;/sup&gt; 3d&lt;sup&gt;2&lt;/sup&gt;|pre=Scandium|next=Vanadium|Metall=Metall|E-Name=Titanium|L-Name=</v>
      </c>
      <c r="AQ23" s="27" t="str">
        <f t="shared" si="5"/>
        <v>|Verwendung=|Wortherkunft=Titan |L-Abk. bzw. redirect=#REDIRECT [[Titan]]|radioaktiv=|hoch=Titan|runter=Zirconium|Bild-Element=|Bild-Verwendung=|www= wurde 1795 in England durch Klaproth entdeckt.|E-Gruppe=|Sonstiges-kurz=|OZ3=022|WL=Sammlung|Text= }}
[[Kategorie:Chemie]][[Kategorie:Chemikalien]]</v>
      </c>
      <c r="AR23" s="31" t="e">
        <f t="shared" si="1"/>
        <v>#REF!</v>
      </c>
      <c r="AS23" t="str">
        <f t="shared" si="6"/>
        <v xml:space="preserve"> wurde 1795 in England durch Klaproth entdeckt. http://www.webelements.com/webelements/elements/media/element-pics/Ti.jpg</v>
      </c>
    </row>
    <row r="24" spans="1:45" ht="18" customHeight="1">
      <c r="A24">
        <v>23</v>
      </c>
      <c r="B24" t="s">
        <v>25</v>
      </c>
      <c r="C24" t="s">
        <v>26</v>
      </c>
      <c r="D24">
        <v>50.942</v>
      </c>
      <c r="E24">
        <v>1.6</v>
      </c>
      <c r="F24" s="36" t="s">
        <v>1176</v>
      </c>
      <c r="G24" s="54" t="s">
        <v>1123</v>
      </c>
      <c r="H24" t="s">
        <v>1228</v>
      </c>
      <c r="I24">
        <v>1831</v>
      </c>
      <c r="J24" t="s">
        <v>206</v>
      </c>
      <c r="K24" t="s">
        <v>27</v>
      </c>
      <c r="L24">
        <v>59</v>
      </c>
      <c r="M24" s="56" t="s">
        <v>1274</v>
      </c>
      <c r="N24" s="30">
        <v>650.91999999999996</v>
      </c>
      <c r="O24" t="s">
        <v>28</v>
      </c>
      <c r="P24" s="30">
        <v>1414.49</v>
      </c>
      <c r="Q24">
        <v>7</v>
      </c>
      <c r="R24" s="30">
        <v>2828.1</v>
      </c>
      <c r="S24" t="s">
        <v>1035</v>
      </c>
      <c r="U24" t="s">
        <v>622</v>
      </c>
      <c r="V24" t="s">
        <v>739</v>
      </c>
      <c r="W24" t="str">
        <f t="shared" si="7"/>
        <v>Titan</v>
      </c>
      <c r="X24" t="str">
        <f t="shared" si="0"/>
        <v>Chrom</v>
      </c>
      <c r="Y24" t="s">
        <v>809</v>
      </c>
      <c r="Z24" s="16" t="s">
        <v>26</v>
      </c>
      <c r="AA24" s="35"/>
      <c r="AB24" s="16"/>
      <c r="AC24" s="27" t="s">
        <v>5</v>
      </c>
      <c r="AD24" s="27" t="str">
        <f t="shared" si="10"/>
        <v>#REDIRECT [[Vanadium]]</v>
      </c>
      <c r="AE24" s="7"/>
      <c r="AF24" t="str">
        <f t="shared" si="13"/>
        <v>Vanadium</v>
      </c>
      <c r="AG24" t="str">
        <f t="shared" si="12"/>
        <v>Niob</v>
      </c>
      <c r="AJ24" t="str">
        <f t="shared" si="2"/>
        <v xml:space="preserve"> wurde 1831 in Mexiko durch Sefström entdeckt.</v>
      </c>
      <c r="AM24" t="str">
        <f t="shared" si="11"/>
        <v>023</v>
      </c>
      <c r="AN24" t="s">
        <v>1041</v>
      </c>
      <c r="AO24" s="27" t="e">
        <f>CONCATENATE("{{Element|Ordnungszahl=",A24,"|Symbol=",B24,"|Name=",C24,"|Atommasse=",#REF!,"|EN=",E24,"|BP=",F24,"|MP=",G24,"|Dichte=",H24,"|Ionenradius=",L24,"|Ivolt=",N24,"|Aradius=",M24)</f>
        <v>#REF!</v>
      </c>
      <c r="AP24" s="27" t="str">
        <f t="shared" si="4"/>
        <v>|Enthalpie=514.2|IVolt2=1414,49|Wert=7|IVolt3=2828,1|Farbe=silbrig-weiß|Flamme=|Elektronenkonfiguration=[Ar] 4s2 3d3|EK-Wiki=[Ar] 4s&lt;sup&gt;2&lt;/sup&gt; 3d&lt;sup&gt;3&lt;/sup&gt;|pre=Titan|next=Chrom|Metall=Metall|E-Name=Vanadium|L-Name=</v>
      </c>
      <c r="AQ24" s="27" t="str">
        <f t="shared" si="5"/>
        <v>|Verwendung=|Wortherkunft=Vanadium''', auch: Vanadin (v.altnord.: ''Vanadis'' [Name der germanischen Göttin der Schönheit Freya; nach dem farbenprächtigen Aussehen mancher V-Verbindungen]). Vanadinverbindungen zeigen eine große und schöne Farbenvielfalt. Deshalb benannte es Sefström nach Freya, der nordischen Göttin der Schönheit, die den Beinamen Vanadis trug.|L-Abk. bzw. redirect=#REDIRECT [[Vanadium]]|radioaktiv=|hoch=Vanadium|runter=Niob|Bild-Element=|Bild-Verwendung=|www= wurde 1831 in Mexiko durch Sefström entdeckt.|E-Gruppe=|Sonstiges-kurz=|OZ3=023|WL=Sammlung|Text= }}
[[Kategorie:Chemie]][[Kategorie:Chemikalien]]</v>
      </c>
      <c r="AR24" s="31" t="e">
        <f t="shared" si="1"/>
        <v>#REF!</v>
      </c>
      <c r="AS24" t="str">
        <f t="shared" si="6"/>
        <v xml:space="preserve"> wurde 1831 in Mexiko durch Sefström entdeckt. http://www.webelements.com/webelements/elements/media/element-pics/V.jpg</v>
      </c>
    </row>
    <row r="25" spans="1:45" ht="18" customHeight="1">
      <c r="A25">
        <v>24</v>
      </c>
      <c r="B25" t="s">
        <v>29</v>
      </c>
      <c r="C25" t="s">
        <v>30</v>
      </c>
      <c r="D25">
        <v>51.996000000000002</v>
      </c>
      <c r="E25">
        <v>1.6</v>
      </c>
      <c r="F25" s="36" t="s">
        <v>1177</v>
      </c>
      <c r="G25" s="54" t="s">
        <v>1124</v>
      </c>
      <c r="H25" t="s">
        <v>449</v>
      </c>
      <c r="I25">
        <v>1797</v>
      </c>
      <c r="J25" t="s">
        <v>195</v>
      </c>
      <c r="K25" t="s">
        <v>886</v>
      </c>
      <c r="L25">
        <v>56</v>
      </c>
      <c r="M25" s="56" t="s">
        <v>1273</v>
      </c>
      <c r="N25" s="30">
        <v>652.87</v>
      </c>
      <c r="O25" t="s">
        <v>31</v>
      </c>
      <c r="P25" s="30">
        <v>1590.64</v>
      </c>
      <c r="Q25">
        <v>9</v>
      </c>
      <c r="R25" s="30">
        <v>2987.21</v>
      </c>
      <c r="S25" t="s">
        <v>32</v>
      </c>
      <c r="U25" t="s">
        <v>623</v>
      </c>
      <c r="V25" t="s">
        <v>741</v>
      </c>
      <c r="W25" t="str">
        <f t="shared" si="7"/>
        <v>Vanadium</v>
      </c>
      <c r="X25" t="str">
        <f t="shared" si="0"/>
        <v>Mangan</v>
      </c>
      <c r="Y25" t="s">
        <v>809</v>
      </c>
      <c r="Z25" s="16" t="s">
        <v>846</v>
      </c>
      <c r="AA25" s="35"/>
      <c r="AB25" s="16"/>
      <c r="AC25" s="27" t="s">
        <v>1014</v>
      </c>
      <c r="AD25" s="27" t="str">
        <f t="shared" si="10"/>
        <v>#REDIRECT [[Chrom]]</v>
      </c>
      <c r="AE25" s="7"/>
      <c r="AF25" t="str">
        <f t="shared" si="13"/>
        <v>Chrom</v>
      </c>
      <c r="AG25" t="str">
        <f t="shared" si="12"/>
        <v>Molybdän</v>
      </c>
      <c r="AJ25" t="str">
        <f t="shared" si="2"/>
        <v xml:space="preserve"> wurde 1797 in Frankreich durch Vauquelin entdeckt.</v>
      </c>
      <c r="AM25" t="str">
        <f t="shared" si="11"/>
        <v>024</v>
      </c>
      <c r="AN25" t="s">
        <v>1041</v>
      </c>
      <c r="AO25" s="27" t="e">
        <f>CONCATENATE("{{Element|Ordnungszahl=",A25,"|Symbol=",B25,"|Name=",C25,"|Atommasse=",#REF!,"|EN=",E25,"|BP=",F25,"|MP=",G25,"|Dichte=",H25,"|Ionenradius=",L25,"|Ivolt=",N25,"|Aradius=",M25)</f>
        <v>#REF!</v>
      </c>
      <c r="AP25" s="27" t="str">
        <f t="shared" si="4"/>
        <v>|Enthalpie=396.6|IVolt2=1590,64|Wert=9|IVolt3=2987,21|Farbe=grau|Flamme=|Elektronenkonfiguration=[Ar] 4s1 3d5|EK-Wiki=[Ar] 4s&lt;sup&gt;1&lt;/sup&gt; 3d&lt;sup&gt;5&lt;/sup&gt;|pre=Vanadium|next=Mangan|Metall=Metall|E-Name=Chromium|L-Name=</v>
      </c>
      <c r="AQ25" s="27" t="str">
        <f t="shared" si="5"/>
        <v>|Verwendung=|Wortherkunft=Chrom (von griech. chroma = Farbe (Die Salze von Chrom haben viele verschiedene Farben und werden oft als Pigmente in Farben und Lacke verwendet). 1761 entdeckte Johann Gottlob Lehmann ein orange-rotes Bleichromat-Mineral (PbCrO&lt;sub&gt;4&lt;/sub&gt;) im Ural_(Gebirge)|Ural, das er Rotbleierz nannte. Weil er es als eine Blei-Eisen-Selen-Verbindung identifizierte, blieb Chrom noch unentdeckt. 1770 fand Peter Simon Pallas an gleicher Stelle ein rotes Bleimineral, das wegen seiner Rotfärbung Krokoit (von griech. ''krokos'', safranfarben) genannt wurde. Die Verwendung von Rotbleierz als Farbpigment nahm schnell zu. Ein aus Krokoit gewonnenes strahlendes Gelb, das Chromgelb, wurde zur Modefarbe, vielen sicher noch als "Postgelb" in Erinnerung.|L-Abk. bzw. redirect=#REDIRECT [[Chrom]]|radioaktiv=|hoch=Chrom|runter=Molybdän|Bild-Element=|Bild-Verwendung=|www= wurde 1797 in Frankreich durch Vauquelin entdeckt.|E-Gruppe=|Sonstiges-kurz=|OZ3=024|WL=Sammlung|Text= }}
[[Kategorie:Chemie]][[Kategorie:Chemikalien]]</v>
      </c>
      <c r="AR25" s="31" t="e">
        <f t="shared" si="1"/>
        <v>#REF!</v>
      </c>
      <c r="AS25" t="str">
        <f t="shared" si="6"/>
        <v xml:space="preserve"> wurde 1797 in Frankreich durch Vauquelin entdeckt. http://www.webelements.com/webelements/elements/media/element-pics/Cr.jpg</v>
      </c>
    </row>
    <row r="26" spans="1:45" ht="18" customHeight="1">
      <c r="A26">
        <v>25</v>
      </c>
      <c r="B26" t="s">
        <v>33</v>
      </c>
      <c r="C26" t="s">
        <v>34</v>
      </c>
      <c r="D26">
        <v>54.938000000000002</v>
      </c>
      <c r="E26">
        <v>1.5</v>
      </c>
      <c r="F26" s="36" t="s">
        <v>1078</v>
      </c>
      <c r="G26" s="54" t="s">
        <v>1125</v>
      </c>
      <c r="H26" t="s">
        <v>1222</v>
      </c>
      <c r="I26">
        <v>1774</v>
      </c>
      <c r="J26" t="s">
        <v>207</v>
      </c>
      <c r="K26" t="s">
        <v>882</v>
      </c>
      <c r="L26">
        <v>70</v>
      </c>
      <c r="M26" s="56" t="s">
        <v>1273</v>
      </c>
      <c r="N26" s="30">
        <v>717.28</v>
      </c>
      <c r="O26" t="s">
        <v>35</v>
      </c>
      <c r="P26" s="30">
        <v>1509.04</v>
      </c>
      <c r="Q26">
        <v>9</v>
      </c>
      <c r="R26" s="30">
        <v>3248.49</v>
      </c>
      <c r="S26" t="s">
        <v>1029</v>
      </c>
      <c r="U26" t="s">
        <v>624</v>
      </c>
      <c r="V26" t="s">
        <v>742</v>
      </c>
      <c r="W26" t="str">
        <f t="shared" si="7"/>
        <v>Chrom</v>
      </c>
      <c r="X26" t="str">
        <f t="shared" si="0"/>
        <v>Eisen</v>
      </c>
      <c r="Y26" t="s">
        <v>809</v>
      </c>
      <c r="Z26" s="16" t="s">
        <v>841</v>
      </c>
      <c r="AA26" s="35"/>
      <c r="AB26" s="16"/>
      <c r="AC26" s="27" t="s">
        <v>1048</v>
      </c>
      <c r="AD26" s="27" t="str">
        <f t="shared" si="10"/>
        <v>#REDIRECT [[Mangan]]</v>
      </c>
      <c r="AE26" s="7"/>
      <c r="AF26" t="str">
        <f t="shared" si="13"/>
        <v>Mangan</v>
      </c>
      <c r="AG26" t="str">
        <f t="shared" si="12"/>
        <v>Technetium</v>
      </c>
      <c r="AJ26" t="str">
        <f t="shared" si="2"/>
        <v xml:space="preserve"> wurde 1774 in Schweden durch Gahn entdeckt.</v>
      </c>
      <c r="AM26" t="str">
        <f t="shared" si="11"/>
        <v>025</v>
      </c>
      <c r="AN26" t="s">
        <v>1041</v>
      </c>
      <c r="AO26" s="27" t="e">
        <f>CONCATENATE("{{Element|Ordnungszahl=",A26,"|Symbol=",B26,"|Name=",C26,"|Atommasse=",#REF!,"|EN=",E26,"|BP=",F26,"|MP=",G26,"|Dichte=",H26,"|Ionenradius=",L26,"|Ivolt=",N26,"|Aradius=",M26)</f>
        <v>#REF!</v>
      </c>
      <c r="AP26" s="27" t="str">
        <f t="shared" si="4"/>
        <v>|Enthalpie=280.7|IVolt2=1509,04|Wert=9|IVolt3=3248,49|Farbe=silbrig-grau|Flamme=|Elektronenkonfiguration=[Ar] 4s2 3d5|EK-Wiki=[Ar] 4s&lt;sup&gt;2&lt;/sup&gt; 3d&lt;sup&gt;5&lt;/sup&gt;|pre=Chrom|next=Eisen|Metall=Metall|E-Name=Manganese|L-Name=</v>
      </c>
      <c r="AQ26" s="27" t="str">
        <f t="shared" si="5"/>
        <v>|Verwendung=|Wortherkunft=Mangan kommt vom von französischen Wort manganèse (= schwarze Magnesia).|L-Abk. bzw. redirect=#REDIRECT [[Mangan]]|radioaktiv=|hoch=Mangan|runter=Technetium|Bild-Element=|Bild-Verwendung=|www= wurde 1774 in Schweden durch Gahn entdeckt.|E-Gruppe=|Sonstiges-kurz=|OZ3=025|WL=Sammlung|Text= }}
[[Kategorie:Chemie]][[Kategorie:Chemikalien]]</v>
      </c>
      <c r="AR26" s="31" t="e">
        <f t="shared" si="1"/>
        <v>#REF!</v>
      </c>
      <c r="AS26" t="str">
        <f t="shared" si="6"/>
        <v xml:space="preserve"> wurde 1774 in Schweden durch Gahn entdeckt. http://www.webelements.com/webelements/elements/media/element-pics/Mn.jpg</v>
      </c>
    </row>
    <row r="27" spans="1:45" ht="18" customHeight="1">
      <c r="A27">
        <v>26</v>
      </c>
      <c r="B27" t="s">
        <v>36</v>
      </c>
      <c r="C27" t="s">
        <v>37</v>
      </c>
      <c r="D27">
        <v>55.844999999999999</v>
      </c>
      <c r="E27">
        <v>1.8</v>
      </c>
      <c r="F27" s="36" t="s">
        <v>1072</v>
      </c>
      <c r="G27" s="54" t="s">
        <v>1126</v>
      </c>
      <c r="H27" s="42" t="s">
        <v>450</v>
      </c>
      <c r="I27" t="s">
        <v>812</v>
      </c>
      <c r="L27">
        <v>67</v>
      </c>
      <c r="M27" s="56" t="s">
        <v>1273</v>
      </c>
      <c r="N27" s="30">
        <v>762.47</v>
      </c>
      <c r="O27" t="s">
        <v>38</v>
      </c>
      <c r="P27" s="30">
        <v>1561.9</v>
      </c>
      <c r="Q27">
        <v>5</v>
      </c>
      <c r="R27" s="30">
        <v>2957.49</v>
      </c>
      <c r="S27" t="s">
        <v>1035</v>
      </c>
      <c r="U27" t="s">
        <v>625</v>
      </c>
      <c r="V27" t="s">
        <v>744</v>
      </c>
      <c r="W27" t="str">
        <f t="shared" si="7"/>
        <v>Mangan</v>
      </c>
      <c r="X27" t="str">
        <f t="shared" si="0"/>
        <v>Cobalt</v>
      </c>
      <c r="Y27" t="s">
        <v>809</v>
      </c>
      <c r="Z27" s="16" t="s">
        <v>136</v>
      </c>
      <c r="AA27" s="34" t="s">
        <v>957</v>
      </c>
      <c r="AB27" s="29"/>
      <c r="AC27" s="27"/>
      <c r="AD27" s="27" t="str">
        <f>CONCATENATE("&lt;b&gt;{{PAGENAME}}&lt;/b&gt; ist das chemische Symbol für das [[PSE|Element]] &lt;b&gt;&amp;rarr; [[",C27,"]]&lt;/b&gt;, von lateinisch ",AA27,".
[[Kategorie:Chemie]][[Kategorie:Chemikalien]]")</f>
        <v>&lt;b&gt;{{PAGENAME}}&lt;/b&gt; ist das chemische Symbol für das [[PSE|Element]] &lt;b&gt;&amp;rarr; [[Eisen]]&lt;/b&gt;, von lateinisch &lt;/b&gt;'Fe&lt;/b&gt;rrum&lt;/i&gt;.
[[Kategorie:Chemie]][[Kategorie:Chemikalien]]</v>
      </c>
      <c r="AE27" s="7"/>
      <c r="AF27" t="str">
        <f t="shared" si="13"/>
        <v>Eisen</v>
      </c>
      <c r="AG27" t="str">
        <f t="shared" si="12"/>
        <v>Ruthenium</v>
      </c>
      <c r="AJ27" t="s">
        <v>965</v>
      </c>
      <c r="AM27" t="str">
        <f t="shared" si="11"/>
        <v>026</v>
      </c>
      <c r="AN27" t="s">
        <v>1041</v>
      </c>
      <c r="AO27" s="27" t="e">
        <f>CONCATENATE("{{Element|Ordnungszahl=",A27,"|Symbol=",B27,"|Name=",C27,"|Atommasse=",#REF!,"|EN=",E27,"|BP=",F27,"|MP=",G27,"|Dichte=",H27,"|Ionenradius=",L27,"|Ivolt=",N27,"|Aradius=",M27)</f>
        <v>#REF!</v>
      </c>
      <c r="AP27" s="27" t="str">
        <f t="shared" si="4"/>
        <v>|Enthalpie=416.3|IVolt2=1561,9|Wert=5|IVolt3=2957,49|Farbe=silbrig-weiß|Flamme=|Elektronenkonfiguration=[Ar] 4s2 3d6|EK-Wiki=[Ar] 4s&lt;sup&gt;2&lt;/sup&gt; 3d&lt;sup&gt;6&lt;/sup&gt;|pre=Mangan|next=Cobalt|Metall=Metall|E-Name=Iron|L-Name=&lt;/b&gt;'Fe&lt;/b&gt;rrum&lt;/i&gt;</v>
      </c>
      <c r="AQ27" s="27" t="str">
        <f t="shared" si="5"/>
        <v>|Verwendung=|Wortherkunft=|L-Abk. bzw. redirect=&lt;b&gt;{{PAGENAME}}&lt;/b&gt; ist das chemische Symbol für das [[PSE|Element]] &lt;b&gt;&amp;rarr; [[Eisen]]&lt;/b&gt;, von lateinisch &lt;/b&gt;'Fe&lt;/b&gt;rrum&lt;/i&gt;.
[[Kategorie:Chemie]][[Kategorie:Chemikalien]]|radioaktiv=|hoch=Eisen|runter=Ruthenium|Bild-Element=|Bild-Verwendung=|www= ist seit dem Altertum bekannt.|E-Gruppe=|Sonstiges-kurz=|OZ3=026|WL=Sammlung|Text= }}
[[Kategorie:Chemie]][[Kategorie:Chemikalien]]</v>
      </c>
      <c r="AR27" s="31" t="e">
        <f t="shared" si="1"/>
        <v>#REF!</v>
      </c>
      <c r="AS27" t="str">
        <f t="shared" si="6"/>
        <v xml:space="preserve"> ist seit dem Altertum bekannt. http://www.webelements.com/webelements/elements/media/element-pics/Fe.jpg</v>
      </c>
    </row>
    <row r="28" spans="1:45" ht="18" customHeight="1">
      <c r="A28">
        <v>27</v>
      </c>
      <c r="B28" t="s">
        <v>39</v>
      </c>
      <c r="C28" t="s">
        <v>40</v>
      </c>
      <c r="D28">
        <v>58.933</v>
      </c>
      <c r="E28">
        <v>1.8</v>
      </c>
      <c r="F28" s="36" t="s">
        <v>1079</v>
      </c>
      <c r="G28" s="54" t="s">
        <v>1127</v>
      </c>
      <c r="H28" s="42" t="s">
        <v>1229</v>
      </c>
      <c r="I28">
        <v>1735</v>
      </c>
      <c r="J28" t="s">
        <v>208</v>
      </c>
      <c r="K28" t="s">
        <v>882</v>
      </c>
      <c r="L28">
        <v>64</v>
      </c>
      <c r="M28" s="56" t="s">
        <v>1274</v>
      </c>
      <c r="N28" s="30">
        <v>760.41</v>
      </c>
      <c r="O28" t="s">
        <v>41</v>
      </c>
      <c r="P28" s="30">
        <v>1648.27</v>
      </c>
      <c r="Q28">
        <v>5</v>
      </c>
      <c r="R28" s="30">
        <v>3232.28</v>
      </c>
      <c r="S28" t="s">
        <v>1035</v>
      </c>
      <c r="U28" t="s">
        <v>626</v>
      </c>
      <c r="V28" t="s">
        <v>746</v>
      </c>
      <c r="W28" t="str">
        <f t="shared" si="7"/>
        <v>Eisen</v>
      </c>
      <c r="X28" t="str">
        <f t="shared" si="0"/>
        <v>Nickel</v>
      </c>
      <c r="Y28" t="s">
        <v>809</v>
      </c>
      <c r="Z28" s="16" t="s">
        <v>40</v>
      </c>
      <c r="AA28" s="35"/>
      <c r="AB28" s="16"/>
      <c r="AC28" s="27" t="s">
        <v>143</v>
      </c>
      <c r="AD28" s="27" t="str">
        <f>CONCATENATE("#REDIRECT [[",C28,"]]")</f>
        <v>#REDIRECT [[Cobalt]]</v>
      </c>
      <c r="AE28" s="7"/>
      <c r="AF28" t="str">
        <f t="shared" si="13"/>
        <v>Cobalt</v>
      </c>
      <c r="AG28" t="str">
        <f t="shared" si="12"/>
        <v>Rhodium</v>
      </c>
      <c r="AJ28" t="str">
        <f t="shared" si="2"/>
        <v xml:space="preserve"> wurde 1735 in Schweden durch Brandt entdeckt.</v>
      </c>
      <c r="AM28" t="str">
        <f t="shared" si="11"/>
        <v>027</v>
      </c>
      <c r="AN28" t="s">
        <v>1041</v>
      </c>
      <c r="AO28" s="27" t="e">
        <f>CONCATENATE("{{Element|Ordnungszahl=",A28,"|Symbol=",B28,"|Name=",C28,"|Atommasse=",#REF!,"|EN=",E28,"|BP=",F28,"|MP=",G28,"|Dichte=",H28,"|Ionenradius=",L28,"|Ivolt=",N28,"|Aradius=",M28)</f>
        <v>#REF!</v>
      </c>
      <c r="AP28" s="27" t="str">
        <f t="shared" si="4"/>
        <v>|Enthalpie=424.7|IVolt2=1648,27|Wert=5|IVolt3=3232,28|Farbe=silbrig-weiß|Flamme=|Elektronenkonfiguration=[Ar] 4s2 3d7|EK-Wiki=[Ar] 4s&lt;sup&gt;2&lt;/sup&gt; 3d&lt;sup&gt;7&lt;/sup&gt;|pre=Eisen|next=Nickel|Metall=Metall|E-Name=Cobalt|L-Name=</v>
      </c>
      <c r="AQ28" s="27" t="str">
        <f t="shared" si="5"/>
        <v>|Verwendung=|Wortherkunft=Der Name Kobalt leitet sich von Kobold ab, weil Kobolde in früherer Vorstellung Erze mit diesem (damals) unbearbeitbaren Mineral verunreinigten. Das Symbol Co leitet sich aus der lateinischen Bezeichnung cobaltum ab.|L-Abk. bzw. redirect=#REDIRECT [[Cobalt]]|radioaktiv=|hoch=Cobalt|runter=Rhodium|Bild-Element=|Bild-Verwendung=|www= wurde 1735 in Schweden durch Brandt entdeckt.|E-Gruppe=|Sonstiges-kurz=|OZ3=027|WL=Sammlung|Text= }}
[[Kategorie:Chemie]][[Kategorie:Chemikalien]]</v>
      </c>
      <c r="AR28" s="31" t="e">
        <f t="shared" si="1"/>
        <v>#REF!</v>
      </c>
      <c r="AS28" t="str">
        <f t="shared" si="6"/>
        <v xml:space="preserve"> wurde 1735 in Schweden durch Brandt entdeckt. http://www.webelements.com/webelements/elements/media/element-pics/Co.jpg</v>
      </c>
    </row>
    <row r="29" spans="1:45" ht="18" customHeight="1">
      <c r="A29">
        <v>28</v>
      </c>
      <c r="B29" t="s">
        <v>42</v>
      </c>
      <c r="C29" t="s">
        <v>43</v>
      </c>
      <c r="D29">
        <v>58.692999999999998</v>
      </c>
      <c r="E29">
        <v>1.8</v>
      </c>
      <c r="F29" s="36" t="s">
        <v>1076</v>
      </c>
      <c r="G29" s="54" t="s">
        <v>1128</v>
      </c>
      <c r="H29" s="42" t="s">
        <v>451</v>
      </c>
      <c r="I29">
        <v>1751</v>
      </c>
      <c r="J29" t="s">
        <v>209</v>
      </c>
      <c r="K29" t="s">
        <v>882</v>
      </c>
      <c r="L29">
        <v>62</v>
      </c>
      <c r="M29" s="56" t="s">
        <v>1274</v>
      </c>
      <c r="N29" s="30">
        <v>737.13</v>
      </c>
      <c r="O29" t="s">
        <v>44</v>
      </c>
      <c r="P29" s="30">
        <v>1753.04</v>
      </c>
      <c r="Q29">
        <v>5</v>
      </c>
      <c r="R29" s="30">
        <v>3395.34</v>
      </c>
      <c r="S29" t="s">
        <v>915</v>
      </c>
      <c r="U29" t="s">
        <v>627</v>
      </c>
      <c r="V29" t="s">
        <v>748</v>
      </c>
      <c r="W29" t="str">
        <f t="shared" si="7"/>
        <v>Cobalt</v>
      </c>
      <c r="X29" t="str">
        <f t="shared" si="0"/>
        <v>Kupfer</v>
      </c>
      <c r="Y29" t="s">
        <v>809</v>
      </c>
      <c r="Z29" s="16" t="s">
        <v>43</v>
      </c>
      <c r="AA29" s="35"/>
      <c r="AB29" s="16"/>
      <c r="AC29" s="27" t="s">
        <v>144</v>
      </c>
      <c r="AD29" s="27" t="str">
        <f>CONCATENATE("#REDIRECT [[",C29,"]]")</f>
        <v>#REDIRECT [[Nickel]]</v>
      </c>
      <c r="AE29" s="7"/>
      <c r="AF29" t="str">
        <f t="shared" si="13"/>
        <v>Nickel</v>
      </c>
      <c r="AG29" t="str">
        <f t="shared" si="12"/>
        <v>Palladium</v>
      </c>
      <c r="AJ29" t="str">
        <f t="shared" si="2"/>
        <v xml:space="preserve"> wurde 1751 in Schweden durch Cronstedt entdeckt.</v>
      </c>
      <c r="AM29" t="str">
        <f t="shared" si="11"/>
        <v>028</v>
      </c>
      <c r="AN29" t="s">
        <v>1041</v>
      </c>
      <c r="AO29" s="27" t="e">
        <f>CONCATENATE("{{Element|Ordnungszahl=",A29,"|Symbol=",B29,"|Name=",C29,"|Atommasse=",#REF!,"|EN=",E29,"|BP=",F29,"|MP=",G29,"|Dichte=",H29,"|Ionenradius=",L29,"|Ivolt=",N29,"|Aradius=",M29)</f>
        <v>#REF!</v>
      </c>
      <c r="AP29" s="27" t="str">
        <f t="shared" si="4"/>
        <v>|Enthalpie=429.7|IVolt2=1753,04|Wert=5|IVolt3=3395,34|Farbe=weiß|Flamme=|Elektronenkonfiguration=[Ar] 4s2 3d8|EK-Wiki=[Ar] 4s&lt;sup&gt;2&lt;/sup&gt; 3d&lt;sup&gt;8&lt;/sup&gt;|pre=Cobalt|next=Kupfer|Metall=Metall|E-Name=Nickel|L-Name=</v>
      </c>
      <c r="AQ29" s="27" t="str">
        <f t="shared" si="5"/>
        <v>|Verwendung=|Wortherkunft=Ähnlich wie beim Kobalt wurde hier ein Wort für böse Geister zum Namensgeber, man verwechselte das wertlose Nickel oft mit Silber und glaubte sich dann vom bösen Erdgeist „Nickel“ betrogen.|L-Abk. bzw. redirect=#REDIRECT [[Nickel]]|radioaktiv=|hoch=Nickel|runter=Palladium|Bild-Element=|Bild-Verwendung=|www= wurde 1751 in Schweden durch Cronstedt entdeckt.|E-Gruppe=|Sonstiges-kurz=|OZ3=028|WL=Sammlung|Text= }}
[[Kategorie:Chemie]][[Kategorie:Chemikalien]]</v>
      </c>
      <c r="AR29" s="31" t="e">
        <f t="shared" si="1"/>
        <v>#REF!</v>
      </c>
      <c r="AS29" t="str">
        <f t="shared" si="6"/>
        <v xml:space="preserve"> wurde 1751 in Schweden durch Cronstedt entdeckt. http://www.webelements.com/webelements/elements/media/element-pics/Ni.jpg</v>
      </c>
    </row>
    <row r="30" spans="1:45" ht="18" customHeight="1">
      <c r="A30">
        <v>29</v>
      </c>
      <c r="B30" t="s">
        <v>45</v>
      </c>
      <c r="C30" t="s">
        <v>46</v>
      </c>
      <c r="D30">
        <v>63.545999999999999</v>
      </c>
      <c r="E30">
        <v>1.9</v>
      </c>
      <c r="F30" s="36" t="s">
        <v>1178</v>
      </c>
      <c r="G30" s="54" t="s">
        <v>1129</v>
      </c>
      <c r="H30" t="s">
        <v>452</v>
      </c>
      <c r="I30" t="s">
        <v>812</v>
      </c>
      <c r="L30">
        <v>72</v>
      </c>
      <c r="M30" s="56" t="s">
        <v>1274</v>
      </c>
      <c r="N30" s="30">
        <v>745.49</v>
      </c>
      <c r="O30" t="s">
        <v>47</v>
      </c>
      <c r="P30" s="30">
        <v>1957.93</v>
      </c>
      <c r="Q30">
        <v>3</v>
      </c>
      <c r="R30" s="30">
        <v>3554.64</v>
      </c>
      <c r="S30" t="s">
        <v>48</v>
      </c>
      <c r="U30" t="s">
        <v>628</v>
      </c>
      <c r="V30" t="s">
        <v>750</v>
      </c>
      <c r="W30" t="str">
        <f t="shared" si="7"/>
        <v>Nickel</v>
      </c>
      <c r="X30" t="str">
        <f t="shared" si="0"/>
        <v>Zink</v>
      </c>
      <c r="Y30" t="s">
        <v>809</v>
      </c>
      <c r="Z30" s="16" t="s">
        <v>135</v>
      </c>
      <c r="AA30" s="35" t="s">
        <v>958</v>
      </c>
      <c r="AB30" s="16"/>
      <c r="AC30" s="27" t="s">
        <v>145</v>
      </c>
      <c r="AD30" s="27" t="str">
        <f>CONCATENATE("&lt;b&gt;{{PAGENAME}}&lt;/b&gt; ist das chemische Symbol für das [[PSE|Element]] &lt;b&gt;&amp;rarr; [[",C30,"]]&lt;/b&gt;, von lateinisch ",AA30,".
[[Kategorie:Chemie]][[Kategorie:Chemikalien]]")</f>
        <v>&lt;b&gt;{{PAGENAME}}&lt;/b&gt; ist das chemische Symbol für das [[PSE|Element]] &lt;b&gt;&amp;rarr; [[Kupfer]]&lt;/b&gt;, von lateinisch &lt;b&gt;&lt;i&gt;Cu&lt;/b&gt;prum&lt;/i&gt;.
[[Kategorie:Chemie]][[Kategorie:Chemikalien]]</v>
      </c>
      <c r="AE30" s="7"/>
      <c r="AF30" t="str">
        <f t="shared" si="13"/>
        <v>Kupfer</v>
      </c>
      <c r="AG30" t="str">
        <f t="shared" si="12"/>
        <v>Silber</v>
      </c>
      <c r="AJ30" t="s">
        <v>965</v>
      </c>
      <c r="AM30" t="str">
        <f t="shared" si="11"/>
        <v>029</v>
      </c>
      <c r="AN30" t="s">
        <v>1041</v>
      </c>
      <c r="AO30" s="27" t="e">
        <f>CONCATENATE("{{Element|Ordnungszahl=",A30,"|Symbol=",B30,"|Name=",C30,"|Atommasse=",#REF!,"|EN=",E30,"|BP=",F30,"|MP=",G30,"|Dichte=",H30,"|Ionenradius=",L30,"|Ivolt=",N30,"|Aradius=",M30)</f>
        <v>#REF!</v>
      </c>
      <c r="AP30" s="27" t="str">
        <f t="shared" si="4"/>
        <v>|Enthalpie=338.3|IVolt2=1957,93|Wert=3|IVolt3=3554,64|Farbe=orange-rot|Flamme=|Elektronenkonfiguration=[Ar] 4s1 3d10|EK-Wiki=[Ar] 4s&lt;sup&gt;1&lt;/sup&gt; 3d&lt;sup&gt;10&lt;/sup&gt;|pre=Nickel|next=Zink|Metall=Metall|E-Name=Copper|L-Name=&lt;b&gt;&lt;i&gt;Cu&lt;/b&gt;prum&lt;/i&gt;</v>
      </c>
      <c r="AQ30" s="27" t="str">
        <f t="shared" si="5"/>
        <v>|Verwendung=|Wortherkunft=Kupfer (von lat. cuprum: „Kupfer, Metall aus Zypern“).|L-Abk. bzw. redirect=&lt;b&gt;{{PAGENAME}}&lt;/b&gt; ist das chemische Symbol für das [[PSE|Element]] &lt;b&gt;&amp;rarr; [[Kupfer]]&lt;/b&gt;, von lateinisch &lt;b&gt;&lt;i&gt;Cu&lt;/b&gt;prum&lt;/i&gt;.
[[Kategorie:Chemie]][[Kategorie:Chemikalien]]|radioaktiv=|hoch=Kupfer|runter=Silber|Bild-Element=|Bild-Verwendung=|www= ist seit dem Altertum bekannt.|E-Gruppe=|Sonstiges-kurz=|OZ3=029|WL=Sammlung|Text= }}
[[Kategorie:Chemie]][[Kategorie:Chemikalien]]</v>
      </c>
      <c r="AR30" s="31" t="e">
        <f t="shared" si="1"/>
        <v>#REF!</v>
      </c>
      <c r="AS30" t="str">
        <f t="shared" si="6"/>
        <v xml:space="preserve"> ist seit dem Altertum bekannt. http://www.webelements.com/webelements/elements/media/element-pics/Cu.jpg</v>
      </c>
    </row>
    <row r="31" spans="1:45" ht="18" customHeight="1">
      <c r="A31">
        <v>30</v>
      </c>
      <c r="B31" t="s">
        <v>49</v>
      </c>
      <c r="C31" t="s">
        <v>50</v>
      </c>
      <c r="D31">
        <v>65.382000000000005</v>
      </c>
      <c r="E31">
        <v>1.6</v>
      </c>
      <c r="F31" s="36" t="s">
        <v>1179</v>
      </c>
      <c r="G31" s="54" t="s">
        <v>1130</v>
      </c>
      <c r="H31" t="s">
        <v>449</v>
      </c>
      <c r="I31" t="s">
        <v>812</v>
      </c>
      <c r="L31">
        <v>83</v>
      </c>
      <c r="M31" s="56" t="s">
        <v>1274</v>
      </c>
      <c r="N31" s="30">
        <v>906.41</v>
      </c>
      <c r="O31" t="s">
        <v>51</v>
      </c>
      <c r="P31" s="30">
        <v>1733.31</v>
      </c>
      <c r="Q31">
        <v>2</v>
      </c>
      <c r="R31" s="30">
        <v>3832.71</v>
      </c>
      <c r="S31" t="s">
        <v>52</v>
      </c>
      <c r="U31" t="s">
        <v>629</v>
      </c>
      <c r="V31" t="s">
        <v>751</v>
      </c>
      <c r="W31" t="str">
        <f t="shared" si="7"/>
        <v>Kupfer</v>
      </c>
      <c r="X31" t="str">
        <f t="shared" si="0"/>
        <v>Gallium</v>
      </c>
      <c r="Y31" t="s">
        <v>809</v>
      </c>
      <c r="Z31" s="16" t="s">
        <v>855</v>
      </c>
      <c r="AA31" s="35"/>
      <c r="AB31" s="16"/>
      <c r="AC31" s="27" t="s">
        <v>146</v>
      </c>
      <c r="AD31" s="27" t="str">
        <f t="shared" ref="AD31:AD47" si="14">CONCATENATE("#REDIRECT [[",C31,"]]")</f>
        <v>#REDIRECT [[Zink]]</v>
      </c>
      <c r="AE31" s="7"/>
      <c r="AF31" t="str">
        <f t="shared" si="13"/>
        <v>Zink</v>
      </c>
      <c r="AG31" t="str">
        <f t="shared" si="12"/>
        <v>Cadmium</v>
      </c>
      <c r="AJ31" t="s">
        <v>965</v>
      </c>
      <c r="AM31" t="str">
        <f t="shared" si="11"/>
        <v>030</v>
      </c>
      <c r="AN31" t="s">
        <v>1041</v>
      </c>
      <c r="AO31" s="27" t="e">
        <f>CONCATENATE("{{Element|Ordnungszahl=",A31,"|Symbol=",B31,"|Name=",C31,"|Atommasse=",#REF!,"|EN=",E31,"|BP=",F31,"|MP=",G31,"|Dichte=",H31,"|Ionenradius=",L31,"|Ivolt=",N31,"|Aradius=",M31)</f>
        <v>#REF!</v>
      </c>
      <c r="AP31" s="27" t="str">
        <f t="shared" si="4"/>
        <v>|Enthalpie=130.7|IVolt2=1733,31|Wert=2|IVolt3=3832,71|Farbe=blau-weiß|Flamme=|Elektronenkonfiguration=[Ar] 4s2 3d10|EK-Wiki=[Ar] 4s&lt;sup&gt;2&lt;/sup&gt; 3d&lt;sup&gt;10&lt;/sup&gt;|pre=Kupfer|next=Gallium|Metall=Metall|E-Name=Zinc|L-Name=</v>
      </c>
      <c r="AQ31" s="27" t="str">
        <f t="shared" si="5"/>
        <v>|Verwendung=|Wortherkunft=Der Name Zink kommt von ''Zinke, Zind'' „Zahn, Zacke“, da Zink zackenförmig erstarrt.|L-Abk. bzw. redirect=#REDIRECT [[Zink]]|radioaktiv=|hoch=Zink|runter=Cadmium|Bild-Element=|Bild-Verwendung=|www= ist seit dem Altertum bekannt.|E-Gruppe=|Sonstiges-kurz=|OZ3=030|WL=Sammlung|Text= }}
[[Kategorie:Chemie]][[Kategorie:Chemikalien]]</v>
      </c>
      <c r="AR31" s="31" t="e">
        <f t="shared" si="1"/>
        <v>#REF!</v>
      </c>
      <c r="AS31" t="str">
        <f t="shared" si="6"/>
        <v xml:space="preserve"> ist seit dem Altertum bekannt. http://www.webelements.com/webelements/elements/media/element-pics/Zn.jpg</v>
      </c>
    </row>
    <row r="32" spans="1:45" ht="18" customHeight="1">
      <c r="A32">
        <v>31</v>
      </c>
      <c r="B32" t="s">
        <v>53</v>
      </c>
      <c r="C32" t="s">
        <v>54</v>
      </c>
      <c r="D32">
        <v>69.722999999999999</v>
      </c>
      <c r="E32">
        <v>1.6</v>
      </c>
      <c r="F32" s="36" t="s">
        <v>1081</v>
      </c>
      <c r="G32" s="54" t="s">
        <v>502</v>
      </c>
      <c r="H32" s="42" t="s">
        <v>1210</v>
      </c>
      <c r="I32">
        <v>1875</v>
      </c>
      <c r="J32" t="s">
        <v>210</v>
      </c>
      <c r="K32" t="s">
        <v>886</v>
      </c>
      <c r="L32">
        <v>62</v>
      </c>
      <c r="M32" s="56" t="s">
        <v>1275</v>
      </c>
      <c r="N32" s="30">
        <v>578.85</v>
      </c>
      <c r="O32">
        <v>277</v>
      </c>
      <c r="P32" s="30">
        <v>1979.33</v>
      </c>
      <c r="Q32">
        <v>3</v>
      </c>
      <c r="R32" s="30">
        <v>2963.09</v>
      </c>
      <c r="S32" t="s">
        <v>1035</v>
      </c>
      <c r="U32" t="s">
        <v>630</v>
      </c>
      <c r="V32" t="s">
        <v>752</v>
      </c>
      <c r="W32" t="str">
        <f t="shared" si="7"/>
        <v>Zink</v>
      </c>
      <c r="X32" t="str">
        <f t="shared" si="0"/>
        <v>Germanium</v>
      </c>
      <c r="Y32" t="s">
        <v>809</v>
      </c>
      <c r="Z32" s="16" t="s">
        <v>54</v>
      </c>
      <c r="AA32" s="35"/>
      <c r="AB32" s="16"/>
      <c r="AC32" s="27" t="s">
        <v>147</v>
      </c>
      <c r="AD32" s="27" t="str">
        <f t="shared" si="14"/>
        <v>#REDIRECT [[Gallium]]</v>
      </c>
      <c r="AE32" s="7"/>
      <c r="AF32" t="str">
        <f>C14</f>
        <v>Aluminium</v>
      </c>
      <c r="AG32" t="str">
        <f t="shared" si="12"/>
        <v>Indium</v>
      </c>
      <c r="AJ32" t="str">
        <f t="shared" si="2"/>
        <v xml:space="preserve"> wurde 1875 in Frankreich durch de Boisbaudran entdeckt.</v>
      </c>
      <c r="AM32" t="str">
        <f t="shared" si="11"/>
        <v>031</v>
      </c>
      <c r="AN32" t="s">
        <v>1042</v>
      </c>
      <c r="AO32" s="27" t="e">
        <f>CONCATENATE("{{Element|Ordnungszahl=",A32,"|Symbol=",B32,"|Name=",C32,"|Atommasse=",#REF!,"|EN=",E32,"|BP=",F32,"|MP=",G32,"|Dichte=",H32,"|Ionenradius=",L32,"|Ivolt=",N32,"|Aradius=",M32)</f>
        <v>#REF!</v>
      </c>
      <c r="AP32" s="27" t="str">
        <f t="shared" si="4"/>
        <v>|Enthalpie=277|IVolt2=1979,33|Wert=3|IVolt3=2963,09|Farbe=silbrig-weiß|Flamme=|Elektronenkonfiguration=[Ar] 4s2 3d10 4p1|EK-Wiki=[Ar] 4s&lt;sup&gt;2&lt;/sup&gt; 3d&lt;sup&gt;10&lt;/sup&gt; 4p&lt;sup&gt;1&lt;/sup&gt;|pre=Zink|next=Germanium|Metall=Metall|E-Name=Gallium|L-Name=</v>
      </c>
      <c r="AQ32" s="27" t="str">
        <f t="shared" si="5"/>
        <v>|Verwendung=|Wortherkunft=Gallium ist benannt nach ''Gallien'', dem lateinischen Namen für Frankreich. Möglich wäre auch, dass sich der Entdecker hier selbst verewigt hat, denn ''Le coq'' ist französisch und bedeutet ''der Hahn'', der auf lateinisch ''gallus'' heißt.|L-Abk. bzw. redirect=#REDIRECT [[Gallium]]|radioaktiv=|hoch=Aluminium|runter=Indium|Bild-Element=|Bild-Verwendung=|www= wurde 1875 in Frankreich durch de Boisbaudran entdeckt.|E-Gruppe=|Sonstiges-kurz=|OZ3=031|WL=nichda|Text= }}
[[Kategorie:Chemie]][[Kategorie:Chemikalien]]</v>
      </c>
      <c r="AR32" s="31" t="e">
        <f t="shared" si="1"/>
        <v>#REF!</v>
      </c>
      <c r="AS32" t="str">
        <f t="shared" si="6"/>
        <v xml:space="preserve"> wurde 1875 in Frankreich durch de Boisbaudran entdeckt. http://www.webelements.com/webelements/elements/media/element-pics/Ga.jpg</v>
      </c>
    </row>
    <row r="33" spans="1:45" ht="18" customHeight="1">
      <c r="A33">
        <v>32</v>
      </c>
      <c r="B33" t="s">
        <v>55</v>
      </c>
      <c r="C33" t="s">
        <v>56</v>
      </c>
      <c r="D33">
        <v>72.631</v>
      </c>
      <c r="E33">
        <v>1.8</v>
      </c>
      <c r="F33" s="36" t="s">
        <v>1082</v>
      </c>
      <c r="G33" s="54" t="s">
        <v>1131</v>
      </c>
      <c r="H33" s="42" t="s">
        <v>453</v>
      </c>
      <c r="I33">
        <v>1886</v>
      </c>
      <c r="J33" t="s">
        <v>211</v>
      </c>
      <c r="K33" t="s">
        <v>926</v>
      </c>
      <c r="L33">
        <v>53</v>
      </c>
      <c r="M33" s="56" t="s">
        <v>1267</v>
      </c>
      <c r="N33" s="30">
        <v>762.18</v>
      </c>
      <c r="O33" t="s">
        <v>57</v>
      </c>
      <c r="P33" s="30">
        <v>1537.47</v>
      </c>
      <c r="Q33">
        <v>6</v>
      </c>
      <c r="R33" s="30">
        <v>3302.15</v>
      </c>
      <c r="S33" t="s">
        <v>888</v>
      </c>
      <c r="U33" t="s">
        <v>631</v>
      </c>
      <c r="V33" t="s">
        <v>753</v>
      </c>
      <c r="W33" t="str">
        <f t="shared" si="7"/>
        <v>Gallium</v>
      </c>
      <c r="X33" t="str">
        <f t="shared" si="0"/>
        <v>Arsen</v>
      </c>
      <c r="Y33" t="s">
        <v>811</v>
      </c>
      <c r="Z33" s="16" t="s">
        <v>56</v>
      </c>
      <c r="AA33" s="35"/>
      <c r="AB33" s="16"/>
      <c r="AC33" s="27" t="s">
        <v>148</v>
      </c>
      <c r="AD33" s="27" t="str">
        <f t="shared" si="14"/>
        <v>#REDIRECT [[Germanium]]</v>
      </c>
      <c r="AE33" s="7"/>
      <c r="AF33" t="str">
        <f>C15</f>
        <v>Silicium</v>
      </c>
      <c r="AG33" t="str">
        <f t="shared" si="12"/>
        <v>Zinn</v>
      </c>
      <c r="AJ33" t="str">
        <f t="shared" si="2"/>
        <v xml:space="preserve"> wurde 1886 in Deutschland durch Winkler entdeckt.</v>
      </c>
      <c r="AM33" t="str">
        <f t="shared" si="11"/>
        <v>032</v>
      </c>
      <c r="AN33" t="s">
        <v>1041</v>
      </c>
      <c r="AO33" s="27" t="e">
        <f>CONCATENATE("{{Element|Ordnungszahl=",A33,"|Symbol=",B33,"|Name=",C33,"|Atommasse=",#REF!,"|EN=",E33,"|BP=",F33,"|MP=",G33,"|Dichte=",H33,"|Ionenradius=",L33,"|Ivolt=",N33,"|Aradius=",M33)</f>
        <v>#REF!</v>
      </c>
      <c r="AP33" s="27" t="str">
        <f t="shared" si="4"/>
        <v>|Enthalpie=376.6|IVolt2=1537,47|Wert=6|IVolt3=3302,15|Farbe=grau-weiß|Flamme=|Elektronenkonfiguration=[Ar] 4s2 3d10 4p2|EK-Wiki=[Ar] 4s&lt;sup&gt;2&lt;/sup&gt; 3d&lt;sup&gt;10&lt;/sup&gt; 4p&lt;sup&gt;2&lt;/sup&gt;|pre=Gallium|next=Arsen|Metall=Halbmetall|E-Name=Germanium|L-Name=</v>
      </c>
      <c r="AQ33" s="27" t="str">
        <f t="shared" si="5"/>
        <v>|Verwendung=|Wortherkunft=Germanium (von lat. ''Germania'' "Deutschland", dem Vaterland des Entdeckers Clemens Winkler.|L-Abk. bzw. redirect=#REDIRECT [[Germanium]]|radioaktiv=|hoch=Silicium|runter=Zinn|Bild-Element=|Bild-Verwendung=|www= wurde 1886 in Deutschland durch Winkler entdeckt.|E-Gruppe=|Sonstiges-kurz=|OZ3=032|WL=Sammlung|Text= }}
[[Kategorie:Chemie]][[Kategorie:Chemikalien]]</v>
      </c>
      <c r="AR33" s="31" t="e">
        <f t="shared" si="1"/>
        <v>#REF!</v>
      </c>
      <c r="AS33" t="str">
        <f t="shared" si="6"/>
        <v xml:space="preserve"> wurde 1886 in Deutschland durch Winkler entdeckt. http://www.webelements.com/webelements/elements/media/element-pics/Ge.jpg</v>
      </c>
    </row>
    <row r="34" spans="1:45" ht="18" customHeight="1">
      <c r="A34">
        <v>33</v>
      </c>
      <c r="B34" t="s">
        <v>58</v>
      </c>
      <c r="C34" t="s">
        <v>59</v>
      </c>
      <c r="D34">
        <v>74.921999999999997</v>
      </c>
      <c r="E34">
        <v>2</v>
      </c>
      <c r="F34" s="36" t="s">
        <v>503</v>
      </c>
      <c r="G34" s="54" t="s">
        <v>503</v>
      </c>
      <c r="H34" s="42" t="s">
        <v>454</v>
      </c>
      <c r="I34" t="s">
        <v>812</v>
      </c>
      <c r="K34" t="s">
        <v>926</v>
      </c>
      <c r="L34">
        <v>46</v>
      </c>
      <c r="M34" s="56" t="s">
        <v>1276</v>
      </c>
      <c r="N34" s="30">
        <v>944.46</v>
      </c>
      <c r="O34" t="s">
        <v>60</v>
      </c>
      <c r="P34" s="30">
        <v>1797.82</v>
      </c>
      <c r="Q34">
        <v>8</v>
      </c>
      <c r="R34" s="30">
        <v>2735.48</v>
      </c>
      <c r="S34" t="s">
        <v>32</v>
      </c>
      <c r="U34" t="s">
        <v>632</v>
      </c>
      <c r="V34" t="s">
        <v>754</v>
      </c>
      <c r="W34" t="str">
        <f t="shared" si="7"/>
        <v>Germanium</v>
      </c>
      <c r="X34" t="str">
        <f t="shared" ref="X34:X65" si="15">C35</f>
        <v>Selen</v>
      </c>
      <c r="Y34" t="s">
        <v>811</v>
      </c>
      <c r="Z34" s="16" t="s">
        <v>829</v>
      </c>
      <c r="AA34" s="35"/>
      <c r="AB34" s="16"/>
      <c r="AC34" s="27" t="s">
        <v>149</v>
      </c>
      <c r="AD34" s="27" t="str">
        <f t="shared" si="14"/>
        <v>#REDIRECT [[Arsen]]</v>
      </c>
      <c r="AE34" s="7"/>
      <c r="AF34" t="s">
        <v>925</v>
      </c>
      <c r="AG34" t="str">
        <f t="shared" si="12"/>
        <v>Antimon</v>
      </c>
      <c r="AJ34" t="s">
        <v>965</v>
      </c>
      <c r="AM34" t="str">
        <f t="shared" si="11"/>
        <v>033</v>
      </c>
      <c r="AN34" t="s">
        <v>1042</v>
      </c>
      <c r="AO34" s="27" t="e">
        <f>CONCATENATE("{{Element|Ordnungszahl=",A34,"|Symbol=",B34,"|Name=",C34,"|Atommasse=",#REF!,"|EN=",E34,"|BP=",F34,"|MP=",G34,"|Dichte=",H34,"|Ionenradius=",L34,"|Ivolt=",N34,"|Aradius=",M34)</f>
        <v>#REF!</v>
      </c>
      <c r="AP34" s="27" t="str">
        <f t="shared" si="4"/>
        <v>|Enthalpie=302.5|IVolt2=1797,82|Wert=8|IVolt3=2735,48|Farbe=grau|Flamme=|Elektronenkonfiguration=[Ar] 4s2 3d10 4p3|EK-Wiki=[Ar] 4s&lt;sup&gt;2&lt;/sup&gt; 3d&lt;sup&gt;10&lt;/sup&gt; 4p&lt;sup&gt;3&lt;/sup&gt;|pre=Germanium|next=Selen|Metall=Halbmetall|E-Name=Arsenic|L-Name=</v>
      </c>
      <c r="AQ34" s="27" t="str">
        <f t="shared" si="5"/>
        <v>|Verwendung=|Wortherkunft=Der Name Arsen geht unmittelbar auf das griechische arsenikón zurück, die Bezeichnung des Arsenminerals Auripigment. Die griechische Bezeichnung scheint ihrerseits ihren Ursprung im Mittelpersischen al-zarnik (= goldfarben) zu haben und gelangte wohl durch semitische Vermittlung ins Griechische. Volksetymologisch wurde der Name fälschlicherweise vom griechischen Wort arsenikós abgeleitet, das sich etwa mit männlich/stark übersetzen lässt.|L-Abk. bzw. redirect=#REDIRECT [[Arsen]]|radioaktiv=|hoch=Phosphor|runter=Antimon|Bild-Element=|Bild-Verwendung=|www= ist seit dem Altertum bekannt.|E-Gruppe=|Sonstiges-kurz=|OZ3=033|WL=nichda|Text= }}
[[Kategorie:Chemie]][[Kategorie:Chemikalien]]</v>
      </c>
      <c r="AR34" s="31" t="e">
        <f t="shared" si="1"/>
        <v>#REF!</v>
      </c>
      <c r="AS34" t="str">
        <f t="shared" si="6"/>
        <v xml:space="preserve"> ist seit dem Altertum bekannt. http://www.webelements.com/webelements/elements/media/element-pics/As.jpg</v>
      </c>
    </row>
    <row r="35" spans="1:45" ht="18" customHeight="1">
      <c r="A35">
        <v>34</v>
      </c>
      <c r="B35" t="s">
        <v>61</v>
      </c>
      <c r="C35" t="s">
        <v>62</v>
      </c>
      <c r="D35">
        <v>78.971999999999994</v>
      </c>
      <c r="E35">
        <v>2.4</v>
      </c>
      <c r="F35" s="36" t="s">
        <v>504</v>
      </c>
      <c r="G35" s="54" t="s">
        <v>1132</v>
      </c>
      <c r="H35" s="42" t="s">
        <v>1242</v>
      </c>
      <c r="I35">
        <v>1817</v>
      </c>
      <c r="J35" t="s">
        <v>178</v>
      </c>
      <c r="K35" t="s">
        <v>882</v>
      </c>
      <c r="L35">
        <v>69</v>
      </c>
      <c r="M35" s="56" t="s">
        <v>1276</v>
      </c>
      <c r="N35" s="30">
        <v>940.97</v>
      </c>
      <c r="O35" t="s">
        <v>63</v>
      </c>
      <c r="P35" s="30">
        <v>2044.54</v>
      </c>
      <c r="Q35">
        <v>2</v>
      </c>
      <c r="R35" s="30">
        <v>2973.74</v>
      </c>
      <c r="S35" t="s">
        <v>923</v>
      </c>
      <c r="U35" t="s">
        <v>633</v>
      </c>
      <c r="V35" t="s">
        <v>755</v>
      </c>
      <c r="W35" t="str">
        <f t="shared" si="7"/>
        <v>Arsen</v>
      </c>
      <c r="X35" t="str">
        <f t="shared" si="15"/>
        <v>Brom</v>
      </c>
      <c r="Y35" t="s">
        <v>811</v>
      </c>
      <c r="Z35" s="16" t="s">
        <v>838</v>
      </c>
      <c r="AA35" s="35"/>
      <c r="AB35" s="16"/>
      <c r="AC35" s="27" t="s">
        <v>150</v>
      </c>
      <c r="AD35" s="27" t="str">
        <f t="shared" si="14"/>
        <v>#REDIRECT [[Selen]]</v>
      </c>
      <c r="AE35" s="7"/>
      <c r="AF35" t="str">
        <f>C17</f>
        <v>Schwefel</v>
      </c>
      <c r="AG35" t="str">
        <f t="shared" si="12"/>
        <v>Tellur</v>
      </c>
      <c r="AJ35" t="str">
        <f t="shared" si="2"/>
        <v xml:space="preserve"> wurde 1817 in Schweden durch Berzelius entdeckt.</v>
      </c>
      <c r="AM35" t="str">
        <f t="shared" si="11"/>
        <v>034</v>
      </c>
      <c r="AN35" t="s">
        <v>1041</v>
      </c>
      <c r="AO35" s="27" t="e">
        <f>CONCATENATE("{{Element|Ordnungszahl=",A35,"|Symbol=",B35,"|Name=",C35,"|Atommasse=",#REF!,"|EN=",E35,"|BP=",F35,"|MP=",G35,"|Dichte=",H35,"|Ionenradius=",L35,"|Ivolt=",N35,"|Aradius=",M35)</f>
        <v>#REF!</v>
      </c>
      <c r="AP35" s="27" t="str">
        <f t="shared" si="4"/>
        <v>|Enthalpie=227.1|IVolt2=2044,54|Wert=2|IVolt3=2973,74|Farbe=dunkelgrau|Flamme=|Elektronenkonfiguration=[Ar] 4s2 3d10 4p4|EK-Wiki=[Ar] 4s&lt;sup&gt;2&lt;/sup&gt; 3d&lt;sup&gt;10&lt;/sup&gt; 4p&lt;sup&gt;4&lt;/sup&gt;|pre=Arsen|next=Brom|Metall=Halbmetall|E-Name=Selenium|L-Name=</v>
      </c>
      <c r="AQ35" s="27" t="str">
        <f t="shared" si="5"/>
        <v>|Verwendung=|Wortherkunft=Selen – benannt nach der griechischen Mondgöttin Selene - wurde im Bleikammerschlamm einer Schwefelsäurefabrik entdeckt, der neben Selen auch Tellur (von lat. ''tellus'' für ''Erde'') enthielt.|L-Abk. bzw. redirect=#REDIRECT [[Selen]]|radioaktiv=|hoch=Schwefel|runter=Tellur|Bild-Element=|Bild-Verwendung=|www= wurde 1817 in Schweden durch Berzelius entdeckt.|E-Gruppe=|Sonstiges-kurz=|OZ3=034|WL=Sammlung|Text= }}
[[Kategorie:Chemie]][[Kategorie:Chemikalien]]</v>
      </c>
      <c r="AR35" s="31" t="e">
        <f t="shared" si="1"/>
        <v>#REF!</v>
      </c>
      <c r="AS35" t="str">
        <f t="shared" ref="AS35:AS66" si="16">CONCATENATE(AJ35," http://www.webelements.com/webelements/elements/media/element-pics/",B35,".jpg")</f>
        <v xml:space="preserve"> wurde 1817 in Schweden durch Berzelius entdeckt. http://www.webelements.com/webelements/elements/media/element-pics/Se.jpg</v>
      </c>
    </row>
    <row r="36" spans="1:45" ht="18" customHeight="1">
      <c r="A36">
        <v>35</v>
      </c>
      <c r="B36" t="s">
        <v>64</v>
      </c>
      <c r="C36" t="s">
        <v>65</v>
      </c>
      <c r="D36">
        <v>79.903999999999996</v>
      </c>
      <c r="E36">
        <v>2.9</v>
      </c>
      <c r="F36" s="36" t="s">
        <v>1180</v>
      </c>
      <c r="G36" s="54" t="s">
        <v>505</v>
      </c>
      <c r="H36" t="s">
        <v>1102</v>
      </c>
      <c r="I36">
        <v>1825</v>
      </c>
      <c r="J36" t="s">
        <v>212</v>
      </c>
      <c r="K36" t="s">
        <v>886</v>
      </c>
      <c r="L36">
        <v>196</v>
      </c>
      <c r="M36" s="56" t="s">
        <v>1276</v>
      </c>
      <c r="N36" s="30">
        <v>1139.8699999999999</v>
      </c>
      <c r="O36" t="s">
        <v>66</v>
      </c>
      <c r="P36" s="30">
        <v>2103.4</v>
      </c>
      <c r="Q36">
        <v>-1</v>
      </c>
      <c r="R36" s="30">
        <v>3473.5</v>
      </c>
      <c r="S36" t="s">
        <v>876</v>
      </c>
      <c r="U36" t="s">
        <v>634</v>
      </c>
      <c r="V36" t="s">
        <v>756</v>
      </c>
      <c r="W36" t="str">
        <f t="shared" si="7"/>
        <v>Selen</v>
      </c>
      <c r="X36" t="str">
        <f t="shared" si="15"/>
        <v>Krypton</v>
      </c>
      <c r="Y36" t="s">
        <v>810</v>
      </c>
      <c r="Z36" s="16" t="s">
        <v>836</v>
      </c>
      <c r="AA36" s="35"/>
      <c r="AB36" s="16"/>
      <c r="AC36" s="27" t="s">
        <v>151</v>
      </c>
      <c r="AD36" s="27" t="str">
        <f t="shared" si="14"/>
        <v>#REDIRECT [[Brom]]</v>
      </c>
      <c r="AE36" s="7"/>
      <c r="AF36" t="s">
        <v>933</v>
      </c>
      <c r="AG36" t="str">
        <f t="shared" si="12"/>
        <v>Iod</v>
      </c>
      <c r="AJ36" t="str">
        <f t="shared" si="2"/>
        <v xml:space="preserve"> wurde 1825 in Frankreich durch Balard entdeckt.</v>
      </c>
      <c r="AM36" t="str">
        <f t="shared" si="11"/>
        <v>035</v>
      </c>
      <c r="AN36" t="s">
        <v>1041</v>
      </c>
      <c r="AO36" s="27" t="e">
        <f>CONCATENATE("{{Element|Ordnungszahl=",A36,"|Symbol=",B36,"|Name=",C36,"|Atommasse=",#REF!,"|EN=",E36,"|BP=",F36,"|MP=",G36,"|Dichte=",H36,"|Ionenradius=",L36,"|Ivolt=",N36,"|Aradius=",M36)</f>
        <v>#REF!</v>
      </c>
      <c r="AP36" s="27" t="str">
        <f t="shared" si="4"/>
        <v>|Enthalpie=111.9|IVolt2=2103,4|Wert=-1|IVolt3=3473,5|Farbe=rot|Flamme=|Elektronenkonfiguration=[Ar] 4s2 3d10 4p5|EK-Wiki=[Ar] 4s&lt;sup&gt;2&lt;/sup&gt; 3d&lt;sup&gt;10&lt;/sup&gt; 4p&lt;sup&gt;5&lt;/sup&gt;|pre=Selen|next=Krypton|Metall=Nichtmetall|E-Name=Bromine|L-Name=</v>
      </c>
      <c r="AQ36" s="27" t="str">
        <f t="shared" si="5"/>
        <v>|Verwendung=|Wortherkunft=Brom (von altgriechisch (brómos) = Gestank, wegen des beißenden Geruchs von Bromdämpfen)|L-Abk. bzw. redirect=#REDIRECT [[Brom]]|radioaktiv=|hoch=Chlor|runter=Iod|Bild-Element=|Bild-Verwendung=|www= wurde 1825 in Frankreich durch Balard entdeckt.|E-Gruppe=|Sonstiges-kurz=|OZ3=035|WL=Sammlung|Text= }}
[[Kategorie:Chemie]][[Kategorie:Chemikalien]]</v>
      </c>
      <c r="AR36" s="31" t="e">
        <f t="shared" si="1"/>
        <v>#REF!</v>
      </c>
      <c r="AS36" t="str">
        <f t="shared" si="16"/>
        <v xml:space="preserve"> wurde 1825 in Frankreich durch Balard entdeckt. http://www.webelements.com/webelements/elements/media/element-pics/Br.jpg</v>
      </c>
    </row>
    <row r="37" spans="1:45" ht="18" customHeight="1">
      <c r="A37">
        <v>36</v>
      </c>
      <c r="B37" t="s">
        <v>67</v>
      </c>
      <c r="C37" t="s">
        <v>68</v>
      </c>
      <c r="D37">
        <v>83.798000000000002</v>
      </c>
      <c r="E37">
        <v>0</v>
      </c>
      <c r="F37" s="36" t="s">
        <v>506</v>
      </c>
      <c r="G37" s="54" t="s">
        <v>507</v>
      </c>
      <c r="H37" s="42" t="s">
        <v>1252</v>
      </c>
      <c r="I37">
        <v>1898</v>
      </c>
      <c r="J37" t="s">
        <v>213</v>
      </c>
      <c r="K37" t="s">
        <v>873</v>
      </c>
      <c r="L37">
        <v>169</v>
      </c>
      <c r="M37" s="56" t="s">
        <v>1277</v>
      </c>
      <c r="N37" s="30">
        <v>1350.77</v>
      </c>
      <c r="O37">
        <v>0</v>
      </c>
      <c r="P37" s="30">
        <v>2350.39</v>
      </c>
      <c r="Q37" t="s">
        <v>874</v>
      </c>
      <c r="R37" s="30">
        <v>3565.16</v>
      </c>
      <c r="S37" t="s">
        <v>875</v>
      </c>
      <c r="U37" t="s">
        <v>635</v>
      </c>
      <c r="V37" t="s">
        <v>757</v>
      </c>
      <c r="W37" t="str">
        <f t="shared" si="7"/>
        <v>Brom</v>
      </c>
      <c r="X37" t="str">
        <f t="shared" si="15"/>
        <v>Rubidium</v>
      </c>
      <c r="Y37" t="s">
        <v>810</v>
      </c>
      <c r="Z37" s="16" t="s">
        <v>68</v>
      </c>
      <c r="AA37" s="35"/>
      <c r="AB37" s="16"/>
      <c r="AC37" s="27" t="s">
        <v>152</v>
      </c>
      <c r="AD37" s="27" t="str">
        <f t="shared" si="14"/>
        <v>#REDIRECT [[Krypton]]</v>
      </c>
      <c r="AE37" s="7"/>
      <c r="AF37" t="str">
        <f t="shared" ref="AF37:AF43" si="17">C19</f>
        <v>Argon</v>
      </c>
      <c r="AG37" t="str">
        <f t="shared" si="12"/>
        <v>Xenon</v>
      </c>
      <c r="AJ37" t="str">
        <f t="shared" si="2"/>
        <v xml:space="preserve"> wurde 1898 in England durch Ramsay,Travers entdeckt.</v>
      </c>
      <c r="AM37" t="str">
        <f t="shared" si="11"/>
        <v>036</v>
      </c>
      <c r="AN37" t="s">
        <v>1042</v>
      </c>
      <c r="AO37" s="27" t="e">
        <f>CONCATENATE("{{Element|Ordnungszahl=",A37,"|Symbol=",B37,"|Name=",C37,"|Atommasse=",#REF!,"|EN=",E37,"|BP=",F37,"|MP=",G37,"|Dichte=",H37,"|Ionenradius=",L37,"|Ivolt=",N37,"|Aradius=",M37)</f>
        <v>#REF!</v>
      </c>
      <c r="AP37" s="27" t="str">
        <f t="shared" si="4"/>
        <v>|Enthalpie=0|IVolt2=2350,39|Wert=-|IVolt3=3565,16|Farbe=farblos|Flamme=|Elektronenkonfiguration=[Ar] 4s2 3d10 4p6|EK-Wiki=[Ar] 4s&lt;sup&gt;2&lt;/sup&gt; 3d&lt;sup&gt;10&lt;/sup&gt; 4p&lt;sup&gt;6&lt;/sup&gt;|pre=Brom|next=Rubidium|Metall=Nichtmetall|E-Name=Krypton|L-Name=</v>
      </c>
      <c r="AQ37" s="27" t="str">
        <f t="shared" si="5"/>
        <v>|Verwendung=|Wortherkunft=Krypton (griechisch krypton = verborgen) wurde im "Rückstand" verdampfter Luft entdeckt.|L-Abk. bzw. redirect=#REDIRECT [[Krypton]]|radioaktiv=|hoch=Argon|runter=Xenon|Bild-Element=|Bild-Verwendung=|www= wurde 1898 in England durch Ramsay,Travers entdeckt.|E-Gruppe=|Sonstiges-kurz=|OZ3=036|WL=nichda|Text= }}
[[Kategorie:Chemie]][[Kategorie:Chemikalien]]</v>
      </c>
      <c r="AR37" s="31" t="e">
        <f t="shared" si="1"/>
        <v>#REF!</v>
      </c>
      <c r="AS37" t="str">
        <f t="shared" si="16"/>
        <v xml:space="preserve"> wurde 1898 in England durch Ramsay,Travers entdeckt. http://www.webelements.com/webelements/elements/media/element-pics/Kr.jpg</v>
      </c>
    </row>
    <row r="38" spans="1:45" ht="18" customHeight="1">
      <c r="A38">
        <v>37</v>
      </c>
      <c r="B38" t="s">
        <v>69</v>
      </c>
      <c r="C38" t="s">
        <v>70</v>
      </c>
      <c r="D38">
        <v>85.468000000000004</v>
      </c>
      <c r="E38">
        <v>0.8</v>
      </c>
      <c r="F38" s="36" t="s">
        <v>508</v>
      </c>
      <c r="G38" s="54" t="s">
        <v>509</v>
      </c>
      <c r="H38" s="42" t="s">
        <v>1230</v>
      </c>
      <c r="I38">
        <v>1860</v>
      </c>
      <c r="J38" t="s">
        <v>214</v>
      </c>
      <c r="K38" t="s">
        <v>926</v>
      </c>
      <c r="L38">
        <v>149</v>
      </c>
      <c r="M38" s="56" t="s">
        <v>1278</v>
      </c>
      <c r="N38" s="30">
        <v>403.03</v>
      </c>
      <c r="O38" t="s">
        <v>71</v>
      </c>
      <c r="P38" s="30">
        <v>2632.62</v>
      </c>
      <c r="Q38">
        <v>1</v>
      </c>
      <c r="R38" s="30">
        <v>3859.44</v>
      </c>
      <c r="S38" t="s">
        <v>1035</v>
      </c>
      <c r="T38" t="s">
        <v>14</v>
      </c>
      <c r="U38" t="s">
        <v>636</v>
      </c>
      <c r="V38" t="s">
        <v>707</v>
      </c>
      <c r="W38" t="str">
        <f t="shared" si="7"/>
        <v>Krypton</v>
      </c>
      <c r="X38" t="str">
        <f t="shared" si="15"/>
        <v>Strontium</v>
      </c>
      <c r="Y38" t="s">
        <v>809</v>
      </c>
      <c r="Z38" s="16" t="s">
        <v>70</v>
      </c>
      <c r="AA38" s="35"/>
      <c r="AB38" s="16"/>
      <c r="AC38" s="27" t="s">
        <v>243</v>
      </c>
      <c r="AD38" s="27" t="str">
        <f t="shared" si="14"/>
        <v>#REDIRECT [[Rubidium]]</v>
      </c>
      <c r="AE38" s="7"/>
      <c r="AF38" t="str">
        <f t="shared" si="17"/>
        <v>Kalium</v>
      </c>
      <c r="AG38" t="str">
        <f t="shared" si="12"/>
        <v>Caesium</v>
      </c>
      <c r="AJ38" t="str">
        <f t="shared" si="2"/>
        <v xml:space="preserve"> wurde 1860 in Deutschland durch Bunsen entdeckt.</v>
      </c>
      <c r="AM38" t="str">
        <f t="shared" si="11"/>
        <v>037</v>
      </c>
      <c r="AN38" t="s">
        <v>1042</v>
      </c>
      <c r="AO38" s="27" t="e">
        <f>CONCATENATE("{{Element|Ordnungszahl=",A38,"|Symbol=",B38,"|Name=",C38,"|Atommasse=",#REF!,"|EN=",E38,"|BP=",F38,"|MP=",G38,"|Dichte=",H38,"|Ionenradius=",L38,"|Ivolt=",N38,"|Aradius=",M38)</f>
        <v>#REF!</v>
      </c>
      <c r="AP38" s="27" t="str">
        <f t="shared" si="4"/>
        <v>|Enthalpie=80.9|IVolt2=2632,62|Wert=1|IVolt3=3859,44|Farbe=silbrig-weiß|Flamme=violett|Elektronenkonfiguration=[Kr] 5s1|EK-Wiki=[Kr] 5s&lt;sup&gt;1&lt;/sup&gt;|pre=Krypton|next=Strontium|Metall=Metall|E-Name=Rubidium|L-Name=</v>
      </c>
      <c r="AQ38" s="27" t="str">
        <f t="shared" si="5"/>
        <v>|Verwendung=|Wortherkunft=Rubidium (lateinisch ''rubidus'' für tiefrot, wegen zwei charakteristischer roter Spektrallinien) wurde spektroskopisch im Mineralwasser entdeckt.|L-Abk. bzw. redirect=#REDIRECT [[Rubidium]]|radioaktiv=|hoch=Kalium|runter=Caesium|Bild-Element=|Bild-Verwendung=|www= wurde 1860 in Deutschland durch Bunsen entdeckt.|E-Gruppe=|Sonstiges-kurz=|OZ3=037|WL=nichda|Text= }}
[[Kategorie:Chemie]][[Kategorie:Chemikalien]]</v>
      </c>
      <c r="AR38" s="31" t="e">
        <f t="shared" si="1"/>
        <v>#REF!</v>
      </c>
      <c r="AS38" t="str">
        <f t="shared" si="16"/>
        <v xml:space="preserve"> wurde 1860 in Deutschland durch Bunsen entdeckt. http://www.webelements.com/webelements/elements/media/element-pics/Rb.jpg</v>
      </c>
    </row>
    <row r="39" spans="1:45" ht="18" customHeight="1">
      <c r="A39">
        <v>38</v>
      </c>
      <c r="B39" t="s">
        <v>72</v>
      </c>
      <c r="C39" t="s">
        <v>73</v>
      </c>
      <c r="D39">
        <v>87.62</v>
      </c>
      <c r="E39">
        <v>1</v>
      </c>
      <c r="F39" s="36" t="s">
        <v>1083</v>
      </c>
      <c r="G39" s="54" t="s">
        <v>1133</v>
      </c>
      <c r="H39" t="s">
        <v>1231</v>
      </c>
      <c r="I39">
        <v>1790</v>
      </c>
      <c r="J39" t="s">
        <v>215</v>
      </c>
      <c r="K39" t="s">
        <v>879</v>
      </c>
      <c r="L39">
        <v>127</v>
      </c>
      <c r="M39" s="56" t="s">
        <v>1279</v>
      </c>
      <c r="N39" s="30">
        <v>549.48</v>
      </c>
      <c r="O39" t="s">
        <v>74</v>
      </c>
      <c r="P39" s="30">
        <v>1064.25</v>
      </c>
      <c r="Q39">
        <v>2</v>
      </c>
      <c r="R39" s="30">
        <v>4138.29</v>
      </c>
      <c r="S39" t="s">
        <v>1036</v>
      </c>
      <c r="T39" t="s">
        <v>75</v>
      </c>
      <c r="U39" t="s">
        <v>637</v>
      </c>
      <c r="V39" t="s">
        <v>715</v>
      </c>
      <c r="W39" t="str">
        <f t="shared" si="7"/>
        <v>Rubidium</v>
      </c>
      <c r="X39" t="str">
        <f t="shared" si="15"/>
        <v>Yttrium</v>
      </c>
      <c r="Y39" t="s">
        <v>809</v>
      </c>
      <c r="Z39" s="16" t="s">
        <v>73</v>
      </c>
      <c r="AA39" s="35"/>
      <c r="AB39" s="16"/>
      <c r="AC39" s="27" t="s">
        <v>244</v>
      </c>
      <c r="AD39" s="27" t="str">
        <f t="shared" si="14"/>
        <v>#REDIRECT [[Strontium]]</v>
      </c>
      <c r="AE39" s="7"/>
      <c r="AF39" t="str">
        <f t="shared" si="17"/>
        <v>Calcium</v>
      </c>
      <c r="AG39" t="str">
        <f t="shared" si="12"/>
        <v>Barium</v>
      </c>
      <c r="AJ39" t="str">
        <f t="shared" si="2"/>
        <v xml:space="preserve"> wurde 1790 in Schottland durch Crawford entdeckt.</v>
      </c>
      <c r="AM39" t="str">
        <f t="shared" si="11"/>
        <v>038</v>
      </c>
      <c r="AN39" t="s">
        <v>1042</v>
      </c>
      <c r="AO39" s="27" t="e">
        <f>CONCATENATE("{{Element|Ordnungszahl=",A39,"|Symbol=",B39,"|Name=",C39,"|Atommasse=",#REF!,"|EN=",E39,"|BP=",F39,"|MP=",G39,"|Dichte=",H39,"|Ionenradius=",L39,"|Ivolt=",N39,"|Aradius=",M39)</f>
        <v>#REF!</v>
      </c>
      <c r="AP39" s="27" t="str">
        <f t="shared" si="4"/>
        <v>|Enthalpie=164.4|IVolt2=1064,25|Wert=2|IVolt3=4138,29|Farbe=silbrig-gelb|Flamme=karminrot|Elektronenkonfiguration=[Kr] 5s2|EK-Wiki=[Kr] 5s&lt;sup&gt;2&lt;/sup&gt;|pre=Rubidium|next=Yttrium|Metall=Metall|E-Name=Strontium|L-Name=</v>
      </c>
      <c r="AQ39" s="27" t="str">
        <f t="shared" si="5"/>
        <v>|Verwendung=|Wortherkunft=Mineral Strontianit, benannt nach der schottischen Stadt Strontian|L-Abk. bzw. redirect=#REDIRECT [[Strontium]]|radioaktiv=|hoch=Calcium|runter=Barium|Bild-Element=|Bild-Verwendung=|www= wurde 1790 in Schottland durch Crawford entdeckt.|E-Gruppe=|Sonstiges-kurz=|OZ3=038|WL=nichda|Text= }}
[[Kategorie:Chemie]][[Kategorie:Chemikalien]]</v>
      </c>
      <c r="AR39" s="31" t="e">
        <f t="shared" si="1"/>
        <v>#REF!</v>
      </c>
      <c r="AS39" t="str">
        <f t="shared" si="16"/>
        <v xml:space="preserve"> wurde 1790 in Schottland durch Crawford entdeckt. http://www.webelements.com/webelements/elements/media/element-pics/Sr.jpg</v>
      </c>
    </row>
    <row r="40" spans="1:45" ht="18" customHeight="1">
      <c r="A40">
        <v>39</v>
      </c>
      <c r="B40" t="s">
        <v>76</v>
      </c>
      <c r="C40" t="s">
        <v>77</v>
      </c>
      <c r="D40">
        <v>88.906000000000006</v>
      </c>
      <c r="E40">
        <v>1.2</v>
      </c>
      <c r="F40" s="36" t="s">
        <v>1084</v>
      </c>
      <c r="G40" s="54" t="s">
        <v>1134</v>
      </c>
      <c r="H40" s="42" t="s">
        <v>455</v>
      </c>
      <c r="I40">
        <v>1878</v>
      </c>
      <c r="J40" t="s">
        <v>216</v>
      </c>
      <c r="K40" t="s">
        <v>78</v>
      </c>
      <c r="L40">
        <v>106</v>
      </c>
      <c r="M40" s="56" t="s">
        <v>1265</v>
      </c>
      <c r="N40" s="30">
        <v>599.86</v>
      </c>
      <c r="O40" t="s">
        <v>79</v>
      </c>
      <c r="P40" s="30">
        <v>1180.99</v>
      </c>
      <c r="Q40">
        <v>3</v>
      </c>
      <c r="R40" s="30">
        <v>1979.89</v>
      </c>
      <c r="S40" t="s">
        <v>1033</v>
      </c>
      <c r="U40" t="s">
        <v>642</v>
      </c>
      <c r="V40" t="s">
        <v>732</v>
      </c>
      <c r="W40" t="str">
        <f t="shared" si="7"/>
        <v>Strontium</v>
      </c>
      <c r="X40" t="str">
        <f t="shared" si="15"/>
        <v>Zirconium</v>
      </c>
      <c r="Y40" t="s">
        <v>809</v>
      </c>
      <c r="Z40" s="16" t="s">
        <v>77</v>
      </c>
      <c r="AA40" s="35"/>
      <c r="AB40" s="16"/>
      <c r="AC40" s="27" t="s">
        <v>245</v>
      </c>
      <c r="AD40" s="27" t="str">
        <f t="shared" si="14"/>
        <v>#REDIRECT [[Yttrium]]</v>
      </c>
      <c r="AE40" s="7"/>
      <c r="AF40" t="str">
        <f t="shared" si="17"/>
        <v>Scandium</v>
      </c>
      <c r="AG40" t="str">
        <f t="shared" si="12"/>
        <v>Lanthan</v>
      </c>
      <c r="AJ40" t="str">
        <f t="shared" si="2"/>
        <v xml:space="preserve"> wurde 1878 in Finnland durch Marignac entdeckt.</v>
      </c>
      <c r="AM40" t="str">
        <f t="shared" si="11"/>
        <v>039</v>
      </c>
      <c r="AN40" t="s">
        <v>1042</v>
      </c>
      <c r="AO40" s="27" t="e">
        <f>CONCATENATE("{{Element|Ordnungszahl=",A40,"|Symbol=",B40,"|Name=",C40,"|Atommasse=",#REF!,"|EN=",E40,"|BP=",F40,"|MP=",G40,"|Dichte=",H40,"|Ionenradius=",L40,"|Ivolt=",N40,"|Aradius=",M40)</f>
        <v>#REF!</v>
      </c>
      <c r="AP40" s="27" t="str">
        <f t="shared" si="4"/>
        <v>|Enthalpie=421.3|IVolt2=1180,99|Wert=3|IVolt3=1979,89|Farbe=silbrig|Flamme=|Elektronenkonfiguration=[Kr] 5s2 4d1|EK-Wiki=[Kr] 5s&lt;sup&gt;2&lt;/sup&gt; 4d&lt;sup&gt;1&lt;/sup&gt;|pre=Strontium|next=Zirconium|Metall=Metall|E-Name=Yttrium|L-Name=</v>
      </c>
      <c r="AQ40" s="27" t="str">
        <f t="shared" si="5"/>
        <v>|Verwendung=|Wortherkunft=Yttrium (''Ytterby'', schwedische Ortschaft in der Nähe von Stockholm) wurde im Mineral Ytterbit entdeckt.|L-Abk. bzw. redirect=#REDIRECT [[Yttrium]]|radioaktiv=|hoch=Scandium|runter=Lanthan|Bild-Element=|Bild-Verwendung=|www= wurde 1878 in Finnland durch Marignac entdeckt.|E-Gruppe=|Sonstiges-kurz=|OZ3=039|WL=nichda|Text= }}
[[Kategorie:Chemie]][[Kategorie:Chemikalien]]</v>
      </c>
      <c r="AR40" s="31" t="e">
        <f t="shared" si="1"/>
        <v>#REF!</v>
      </c>
      <c r="AS40" t="str">
        <f t="shared" si="16"/>
        <v xml:space="preserve"> wurde 1878 in Finnland durch Marignac entdeckt. http://www.webelements.com/webelements/elements/media/element-pics/Y.jpg</v>
      </c>
    </row>
    <row r="41" spans="1:45" ht="18" customHeight="1">
      <c r="A41">
        <v>40</v>
      </c>
      <c r="B41" t="s">
        <v>80</v>
      </c>
      <c r="C41" t="s">
        <v>81</v>
      </c>
      <c r="D41">
        <v>91.224000000000004</v>
      </c>
      <c r="E41">
        <v>1.4</v>
      </c>
      <c r="F41" s="36" t="s">
        <v>1181</v>
      </c>
      <c r="G41" s="54" t="s">
        <v>1135</v>
      </c>
      <c r="H41" s="42" t="s">
        <v>1223</v>
      </c>
      <c r="I41">
        <v>1824</v>
      </c>
      <c r="J41" t="s">
        <v>178</v>
      </c>
      <c r="K41" t="s">
        <v>926</v>
      </c>
      <c r="L41">
        <v>87</v>
      </c>
      <c r="M41" s="56" t="s">
        <v>1280</v>
      </c>
      <c r="N41" s="30">
        <v>640.08000000000004</v>
      </c>
      <c r="O41" t="s">
        <v>82</v>
      </c>
      <c r="P41" s="30">
        <v>1266.8599999999999</v>
      </c>
      <c r="Q41">
        <v>4</v>
      </c>
      <c r="R41" s="30">
        <v>2218.21</v>
      </c>
      <c r="S41" t="s">
        <v>888</v>
      </c>
      <c r="U41" t="s">
        <v>643</v>
      </c>
      <c r="V41" t="s">
        <v>737</v>
      </c>
      <c r="W41" t="str">
        <f t="shared" si="7"/>
        <v>Yttrium</v>
      </c>
      <c r="X41" t="str">
        <f t="shared" si="15"/>
        <v>Niob</v>
      </c>
      <c r="Y41" t="s">
        <v>809</v>
      </c>
      <c r="Z41" s="16" t="s">
        <v>81</v>
      </c>
      <c r="AA41" s="35"/>
      <c r="AB41" s="16"/>
      <c r="AC41" s="27" t="s">
        <v>246</v>
      </c>
      <c r="AD41" s="27" t="str">
        <f t="shared" si="14"/>
        <v>#REDIRECT [[Zirconium]]</v>
      </c>
      <c r="AE41" s="7"/>
      <c r="AF41" t="str">
        <f t="shared" si="17"/>
        <v>Titan</v>
      </c>
      <c r="AG41" t="str">
        <f t="shared" ref="AG41:AG86" si="18">C73</f>
        <v>Hafnium</v>
      </c>
      <c r="AJ41" t="str">
        <f t="shared" si="2"/>
        <v xml:space="preserve"> wurde 1824 in Deutschland durch Berzelius entdeckt.</v>
      </c>
      <c r="AM41" t="str">
        <f t="shared" si="11"/>
        <v>040</v>
      </c>
      <c r="AN41" t="s">
        <v>1042</v>
      </c>
      <c r="AO41" s="27" t="e">
        <f>CONCATENATE("{{Element|Ordnungszahl=",A41,"|Symbol=",B41,"|Name=",C41,"|Atommasse=",#REF!,"|EN=",E41,"|BP=",F41,"|MP=",G41,"|Dichte=",H41,"|Ionenradius=",L41,"|Ivolt=",N41,"|Aradius=",M41)</f>
        <v>#REF!</v>
      </c>
      <c r="AP41" s="27" t="str">
        <f t="shared" si="4"/>
        <v>|Enthalpie=608.8|IVolt2=1266,86|Wert=4|IVolt3=2218,21|Farbe=grau-weiß|Flamme=|Elektronenkonfiguration=[Kr] 5s2 4d2|EK-Wiki=[Kr] 5s&lt;sup&gt;2&lt;/sup&gt; 4d&lt;sup&gt;2&lt;/sup&gt;|pre=Yttrium|next=Niob|Metall=Metall|E-Name=Zirconium|L-Name=</v>
      </c>
      <c r="AQ41" s="27" t="str">
        <f t="shared" si="5"/>
        <v>|Verwendung=|Wortherkunft=Zirkonium wurde nach dem Mineral Zirkon benannt, das eine Zirkoniumverbindung ist.|L-Abk. bzw. redirect=#REDIRECT [[Zirconium]]|radioaktiv=|hoch=Titan|runter=Hafnium|Bild-Element=|Bild-Verwendung=|www= wurde 1824 in Deutschland durch Berzelius entdeckt.|E-Gruppe=|Sonstiges-kurz=|OZ3=040|WL=nichda|Text= }}
[[Kategorie:Chemie]][[Kategorie:Chemikalien]]</v>
      </c>
      <c r="AR41" s="31" t="e">
        <f t="shared" ref="AQ41:AR104" si="19">CONCATENATE(AO41,AP41,AQ41)</f>
        <v>#REF!</v>
      </c>
      <c r="AS41" t="str">
        <f t="shared" si="16"/>
        <v xml:space="preserve"> wurde 1824 in Deutschland durch Berzelius entdeckt. http://www.webelements.com/webelements/elements/media/element-pics/Zr.jpg</v>
      </c>
    </row>
    <row r="42" spans="1:45" ht="18" customHeight="1">
      <c r="A42">
        <v>41</v>
      </c>
      <c r="B42" t="s">
        <v>83</v>
      </c>
      <c r="C42" t="s">
        <v>84</v>
      </c>
      <c r="D42">
        <v>92.906000000000006</v>
      </c>
      <c r="E42">
        <v>1.6</v>
      </c>
      <c r="F42" s="36" t="s">
        <v>1182</v>
      </c>
      <c r="G42" s="54" t="s">
        <v>1136</v>
      </c>
      <c r="H42" t="s">
        <v>1232</v>
      </c>
      <c r="I42">
        <v>1801</v>
      </c>
      <c r="J42" t="s">
        <v>217</v>
      </c>
      <c r="K42" t="s">
        <v>873</v>
      </c>
      <c r="L42">
        <v>69</v>
      </c>
      <c r="M42" s="56" t="s">
        <v>1257</v>
      </c>
      <c r="N42" s="30">
        <v>652.13</v>
      </c>
      <c r="O42" t="s">
        <v>85</v>
      </c>
      <c r="P42" s="30">
        <v>1381.68</v>
      </c>
      <c r="Q42">
        <v>8</v>
      </c>
      <c r="R42" s="30">
        <v>2416.0100000000002</v>
      </c>
      <c r="S42" t="s">
        <v>915</v>
      </c>
      <c r="U42" t="s">
        <v>644</v>
      </c>
      <c r="V42" t="s">
        <v>740</v>
      </c>
      <c r="W42" t="str">
        <f t="shared" si="7"/>
        <v>Zirconium</v>
      </c>
      <c r="X42" t="str">
        <f t="shared" si="15"/>
        <v>Molybdän</v>
      </c>
      <c r="Y42" t="s">
        <v>809</v>
      </c>
      <c r="Z42" s="16" t="s">
        <v>847</v>
      </c>
      <c r="AA42" s="35"/>
      <c r="AB42" s="16"/>
      <c r="AC42" s="27" t="s">
        <v>1050</v>
      </c>
      <c r="AD42" s="27" t="str">
        <f t="shared" si="14"/>
        <v>#REDIRECT [[Niob]]</v>
      </c>
      <c r="AE42" s="7"/>
      <c r="AF42" t="str">
        <f t="shared" si="17"/>
        <v>Vanadium</v>
      </c>
      <c r="AG42" t="str">
        <f t="shared" si="18"/>
        <v>Tantal</v>
      </c>
      <c r="AJ42" t="str">
        <f t="shared" si="2"/>
        <v xml:space="preserve"> wurde 1801 in England durch Hatchett entdeckt.</v>
      </c>
      <c r="AM42" t="str">
        <f t="shared" si="11"/>
        <v>041</v>
      </c>
      <c r="AN42" t="s">
        <v>1042</v>
      </c>
      <c r="AO42" s="27" t="e">
        <f>CONCATENATE("{{Element|Ordnungszahl=",A42,"|Symbol=",B42,"|Name=",C42,"|Atommasse=",#REF!,"|EN=",E42,"|BP=",F42,"|MP=",G42,"|Dichte=",H42,"|Ionenradius=",L42,"|Ivolt=",N42,"|Aradius=",M42)</f>
        <v>#REF!</v>
      </c>
      <c r="AP42" s="27" t="str">
        <f t="shared" si="4"/>
        <v>|Enthalpie=725.9|IVolt2=1381,68|Wert=8|IVolt3=2416,01|Farbe=weiß|Flamme=|Elektronenkonfiguration=[Kr] 5s1 4d4|EK-Wiki=[Kr] 5s&lt;sup&gt;1&lt;/sup&gt; 4d&lt;sup&gt;4&lt;/sup&gt;|pre=Zirconium|next=Molybdän|Metall=Metall|E-Name=Niobium|L-Name=</v>
      </c>
      <c r="AQ42" s="27" t="str">
        <f t="shared" si="5"/>
        <v>|Verwendung=|Wortherkunft=''Niob''' (nach Niobe - der Tochter des Tantalus -, Hatchett fand Niob in Columbiterz, Tocvhter des Tantalos, wg. Vergesellschaftung mit Tantal|L-Abk. bzw. redirect=#REDIRECT [[Niob]]|radioaktiv=|hoch=Vanadium|runter=Tantal|Bild-Element=|Bild-Verwendung=|www= wurde 1801 in England durch Hatchett entdeckt.|E-Gruppe=|Sonstiges-kurz=|OZ3=041|WL=nichda|Text= }}
[[Kategorie:Chemie]][[Kategorie:Chemikalien]]</v>
      </c>
      <c r="AR42" s="31" t="e">
        <f t="shared" si="19"/>
        <v>#REF!</v>
      </c>
      <c r="AS42" t="str">
        <f t="shared" si="16"/>
        <v xml:space="preserve"> wurde 1801 in England durch Hatchett entdeckt. http://www.webelements.com/webelements/elements/media/element-pics/Nb.jpg</v>
      </c>
    </row>
    <row r="43" spans="1:45" ht="18" customHeight="1">
      <c r="A43">
        <v>42</v>
      </c>
      <c r="B43" t="s">
        <v>86</v>
      </c>
      <c r="C43" t="s">
        <v>87</v>
      </c>
      <c r="D43">
        <v>95.95</v>
      </c>
      <c r="E43">
        <v>1.8</v>
      </c>
      <c r="F43" s="36" t="s">
        <v>1183</v>
      </c>
      <c r="G43" s="54" t="s">
        <v>1137</v>
      </c>
      <c r="H43" t="s">
        <v>456</v>
      </c>
      <c r="I43">
        <v>1790</v>
      </c>
      <c r="J43" t="s">
        <v>218</v>
      </c>
      <c r="K43" t="s">
        <v>882</v>
      </c>
      <c r="L43">
        <v>62</v>
      </c>
      <c r="M43" s="56" t="s">
        <v>1257</v>
      </c>
      <c r="N43" s="30">
        <v>684.32</v>
      </c>
      <c r="O43" t="s">
        <v>88</v>
      </c>
      <c r="P43" s="30">
        <v>1559.21</v>
      </c>
      <c r="Q43">
        <v>11</v>
      </c>
      <c r="R43" s="30">
        <v>2617.67</v>
      </c>
      <c r="S43" t="s">
        <v>1035</v>
      </c>
      <c r="U43" t="s">
        <v>645</v>
      </c>
      <c r="V43" t="s">
        <v>743</v>
      </c>
      <c r="W43" t="str">
        <f t="shared" si="7"/>
        <v>Niob</v>
      </c>
      <c r="X43" t="str">
        <f t="shared" si="15"/>
        <v>Technetium</v>
      </c>
      <c r="Y43" t="s">
        <v>809</v>
      </c>
      <c r="Z43" s="16" t="s">
        <v>843</v>
      </c>
      <c r="AA43" s="35"/>
      <c r="AB43" s="16"/>
      <c r="AC43" s="27" t="s">
        <v>247</v>
      </c>
      <c r="AD43" s="27" t="str">
        <f t="shared" si="14"/>
        <v>#REDIRECT [[Molybdän]]</v>
      </c>
      <c r="AE43" s="7"/>
      <c r="AF43" t="str">
        <f t="shared" si="17"/>
        <v>Chrom</v>
      </c>
      <c r="AG43" t="str">
        <f t="shared" si="18"/>
        <v>Wolfram</v>
      </c>
      <c r="AJ43" t="str">
        <f t="shared" si="2"/>
        <v xml:space="preserve"> wurde 1790 in Schweden durch Hjelm entdeckt.</v>
      </c>
      <c r="AM43" t="str">
        <f t="shared" ref="AM43:AM74" si="20">CONCATENATE("0",A43,)</f>
        <v>042</v>
      </c>
      <c r="AN43" t="s">
        <v>1041</v>
      </c>
      <c r="AO43" s="27" t="e">
        <f>CONCATENATE("{{Element|Ordnungszahl=",A43,"|Symbol=",B43,"|Name=",C43,"|Atommasse=",#REF!,"|EN=",E43,"|BP=",F43,"|MP=",G43,"|Dichte=",H43,"|Ionenradius=",L43,"|Ivolt=",N43,"|Aradius=",M43)</f>
        <v>#REF!</v>
      </c>
      <c r="AP43" s="27" t="str">
        <f t="shared" si="4"/>
        <v>|Enthalpie=658.1|IVolt2=1559,21|Wert=11|IVolt3=2617,67|Farbe=silbrig-weiß|Flamme=|Elektronenkonfiguration=[Kr] 5s1 4d5|EK-Wiki=[Kr] 5s&lt;sup&gt;1&lt;/sup&gt; 4d&lt;sup&gt;5&lt;/sup&gt;|pre=Niob|next=Technetium|Metall=Metall|E-Name=Molybdenum|L-Name=</v>
      </c>
      <c r="AQ43" s="27" t="str">
        <f t="shared" si="5"/>
        <v>|Verwendung=|Wortherkunft=Molybdän, von griech. molybdos für Blei, das in Lagerstätten in der Regel als Molybdänglanz (Molybdändisulfid) vorkommt wurde lange Zeit mit Bleiglanz oder auch Graphit verwechselt.|L-Abk. bzw. redirect=#REDIRECT [[Molybdän]]|radioaktiv=|hoch=Chrom|runter=Wolfram|Bild-Element=|Bild-Verwendung=|www= wurde 1790 in Schweden durch Hjelm entdeckt.|E-Gruppe=|Sonstiges-kurz=|OZ3=042|WL=Sammlung|Text= }}
[[Kategorie:Chemie]][[Kategorie:Chemikalien]]</v>
      </c>
      <c r="AR43" s="31" t="e">
        <f t="shared" si="19"/>
        <v>#REF!</v>
      </c>
      <c r="AS43" t="str">
        <f t="shared" si="16"/>
        <v xml:space="preserve"> wurde 1790 in Schweden durch Hjelm entdeckt. http://www.webelements.com/webelements/elements/media/element-pics/Mo.jpg</v>
      </c>
    </row>
    <row r="44" spans="1:45" ht="18" customHeight="1">
      <c r="A44">
        <v>43</v>
      </c>
      <c r="B44" t="s">
        <v>89</v>
      </c>
      <c r="C44" t="s">
        <v>90</v>
      </c>
      <c r="D44">
        <v>97</v>
      </c>
      <c r="E44">
        <v>1.9</v>
      </c>
      <c r="F44" s="36" t="s">
        <v>1184</v>
      </c>
      <c r="G44" s="54" t="s">
        <v>1138</v>
      </c>
      <c r="H44" t="s">
        <v>1224</v>
      </c>
      <c r="I44">
        <v>1937</v>
      </c>
      <c r="J44" t="s">
        <v>171</v>
      </c>
      <c r="K44" t="s">
        <v>91</v>
      </c>
      <c r="L44">
        <v>56</v>
      </c>
      <c r="M44" s="56" t="s">
        <v>1274</v>
      </c>
      <c r="N44" s="30">
        <v>702.42</v>
      </c>
      <c r="O44">
        <v>678</v>
      </c>
      <c r="P44" s="30">
        <v>1472.38</v>
      </c>
      <c r="Q44">
        <v>7</v>
      </c>
      <c r="R44" s="30">
        <v>2850.2</v>
      </c>
      <c r="S44" t="s">
        <v>1029</v>
      </c>
      <c r="U44" t="s">
        <v>646</v>
      </c>
      <c r="V44" t="s">
        <v>745</v>
      </c>
      <c r="W44" t="str">
        <f t="shared" si="7"/>
        <v>Molybdän</v>
      </c>
      <c r="X44" t="str">
        <f t="shared" si="15"/>
        <v>Ruthenium</v>
      </c>
      <c r="Y44" t="s">
        <v>809</v>
      </c>
      <c r="Z44" s="16" t="s">
        <v>90</v>
      </c>
      <c r="AA44" s="35"/>
      <c r="AB44" s="16"/>
      <c r="AC44" s="27" t="s">
        <v>248</v>
      </c>
      <c r="AD44" s="27" t="str">
        <f t="shared" si="14"/>
        <v>#REDIRECT [[Technetium]]</v>
      </c>
      <c r="AE44" s="7" t="s">
        <v>167</v>
      </c>
      <c r="AF44" t="s">
        <v>34</v>
      </c>
      <c r="AG44" t="str">
        <f t="shared" si="18"/>
        <v>Rhenium</v>
      </c>
      <c r="AJ44" t="str">
        <f t="shared" si="2"/>
        <v xml:space="preserve"> wurde 1937 in Italien durch Segré, Perrier entdeckt.</v>
      </c>
      <c r="AM44" t="str">
        <f t="shared" si="20"/>
        <v>043</v>
      </c>
      <c r="AN44" t="s">
        <v>1042</v>
      </c>
      <c r="AO44" s="27" t="str">
        <f>CONCATENATE("{{Element|Ordnungszahl=",A44,"|Symbol=",B44,"|Name=",C44,"|Atommasse=",D44,"|EN=",E44,"|BP=",F44,"|MP=",G44,"|Dichte=",H44,"|Ionenradius=",L44,"|Ivolt=",N44,"|Aradius=",M44)</f>
        <v>{{Element|Ordnungszahl=43|Symbol=Tc|Name=Technetium|Atommasse=97|EN=1,9|BP=4.265 °C|MP=2.157 °C|Dichte=11,5 g/cm³|Ionenradius=56|Ivolt=702,42|Aradius=135 pm</v>
      </c>
      <c r="AP44" s="27" t="str">
        <f t="shared" si="4"/>
        <v>|Enthalpie=678|IVolt2=1472,38|Wert=7|IVolt3=2850,2|Farbe=silbrig-grau|Flamme=|Elektronenkonfiguration=[Kr] 5s1 4d6|EK-Wiki=[Kr] 5s&lt;sup&gt;1&lt;/sup&gt; 4d&lt;sup&gt;6&lt;/sup&gt;|pre=Molybdän|next=Ruthenium|Metall=Metall|E-Name=Technetium|L-Name=</v>
      </c>
      <c r="AQ44" s="27" t="str">
        <f t="shared" si="5"/>
        <v>|Verwendung=|Wortherkunft=Technetium war das erste künstlich hergestellte Element und erhielt deswegen seinen aus dem griechischen Wort für „künstlich“, tekhnetos, hergeleiteten Namen.|L-Abk. bzw. redirect=#REDIRECT [[Technetium]]|radioaktiv=[[radioaktiv]]es&amp;nbsp;|hoch=Mangan|runter=Rhenium|Bild-Element=|Bild-Verwendung=|www= wurde 1937 in Italien durch Segré, Perrier entdeckt.|E-Gruppe=|Sonstiges-kurz=|OZ3=043|WL=nichda|Text= }}
[[Kategorie:Chemie]][[Kategorie:Chemikalien]]</v>
      </c>
      <c r="AR44" s="31" t="str">
        <f t="shared" si="19"/>
        <v>{{Element|Ordnungszahl=43|Symbol=Tc|Name=Technetium|Atommasse=97|EN=1,9|BP=4.265 °C|MP=2.157 °C|Dichte=11,5 g/cm³|Ionenradius=56|Ivolt=702,42|Aradius=135 pm|Enthalpie=678|IVolt2=1472,38|Wert=7|IVolt3=2850,2|Farbe=silbrig-grau|Flamme=|Elektronenkonfiguration=[Kr] 5s1 4d6|EK-Wiki=[Kr] 5s&lt;sup&gt;1&lt;/sup&gt; 4d&lt;sup&gt;6&lt;/sup&gt;|pre=Molybdän|next=Ruthenium|Metall=Metall|E-Name=Technetium|L-Name=|Verwendung=|Wortherkunft=Technetium war das erste künstlich hergestellte Element und erhielt deswegen seinen aus dem griechischen Wort für „künstlich“, tekhnetos, hergeleiteten Namen.|L-Abk. bzw. redirect=#REDIRECT [[Technetium]]|radioaktiv=[[radioaktiv]]es&amp;nbsp;|hoch=Mangan|runter=Rhenium|Bild-Element=|Bild-Verwendung=|www= wurde 1937 in Italien durch Segré, Perrier entdeckt.|E-Gruppe=|Sonstiges-kurz=|OZ3=043|WL=nichda|Text= }}
[[Kategorie:Chemie]][[Kategorie:Chemikalien]]</v>
      </c>
      <c r="AS44" t="str">
        <f t="shared" si="16"/>
        <v xml:space="preserve"> wurde 1937 in Italien durch Segré, Perrier entdeckt. http://www.webelements.com/webelements/elements/media/element-pics/Tc.jpg</v>
      </c>
    </row>
    <row r="45" spans="1:45" ht="18" customHeight="1">
      <c r="A45">
        <v>44</v>
      </c>
      <c r="B45" t="s">
        <v>92</v>
      </c>
      <c r="C45" t="s">
        <v>93</v>
      </c>
      <c r="D45">
        <v>101.07</v>
      </c>
      <c r="E45">
        <v>2.2000000000000002</v>
      </c>
      <c r="F45" s="36" t="s">
        <v>1185</v>
      </c>
      <c r="G45" s="54" t="s">
        <v>1139</v>
      </c>
      <c r="H45" t="s">
        <v>1103</v>
      </c>
      <c r="I45">
        <v>1844</v>
      </c>
      <c r="J45" t="s">
        <v>219</v>
      </c>
      <c r="K45" t="s">
        <v>94</v>
      </c>
      <c r="L45">
        <v>65</v>
      </c>
      <c r="M45" s="56" t="s">
        <v>1275</v>
      </c>
      <c r="N45" s="30">
        <v>710.19</v>
      </c>
      <c r="O45" t="s">
        <v>95</v>
      </c>
      <c r="P45" s="30">
        <v>1617.11</v>
      </c>
      <c r="Q45">
        <v>7</v>
      </c>
      <c r="R45" s="30">
        <v>2746.96</v>
      </c>
      <c r="S45" t="s">
        <v>1033</v>
      </c>
      <c r="U45" t="s">
        <v>647</v>
      </c>
      <c r="V45" t="s">
        <v>747</v>
      </c>
      <c r="W45" t="str">
        <f t="shared" si="7"/>
        <v>Technetium</v>
      </c>
      <c r="X45" t="str">
        <f t="shared" si="15"/>
        <v>Rhodium</v>
      </c>
      <c r="Y45" t="s">
        <v>809</v>
      </c>
      <c r="Z45" s="16" t="s">
        <v>93</v>
      </c>
      <c r="AA45" s="35"/>
      <c r="AB45" s="16"/>
      <c r="AC45" s="27" t="s">
        <v>249</v>
      </c>
      <c r="AD45" s="27" t="str">
        <f t="shared" si="14"/>
        <v>#REDIRECT [[Ruthenium]]</v>
      </c>
      <c r="AE45" s="7"/>
      <c r="AF45" t="str">
        <f>C27</f>
        <v>Eisen</v>
      </c>
      <c r="AG45" t="str">
        <f t="shared" si="18"/>
        <v>Osmium</v>
      </c>
      <c r="AJ45" t="str">
        <f t="shared" si="2"/>
        <v xml:space="preserve"> wurde 1844 in Rußland durch Claus entdeckt.</v>
      </c>
      <c r="AM45" t="str">
        <f t="shared" si="20"/>
        <v>044</v>
      </c>
      <c r="AN45" t="s">
        <v>1042</v>
      </c>
      <c r="AO45" s="27" t="e">
        <f>CONCATENATE("{{Element|Ordnungszahl=",A45,"|Symbol=",B45,"|Name=",C45,"|Atommasse=",#REF!,"|EN=",E45,"|BP=",F45,"|MP=",G45,"|Dichte=",H45,"|Ionenradius=",L45,"|Ivolt=",N45,"|Aradius=",M45)</f>
        <v>#REF!</v>
      </c>
      <c r="AP45" s="27" t="str">
        <f t="shared" si="4"/>
        <v>|Enthalpie=642.7|IVolt2=1617,11|Wert=7|IVolt3=2746,96|Farbe=silbrig|Flamme=|Elektronenkonfiguration=[Kr] 5s1 4d7|EK-Wiki=[Kr] 5s&lt;sup&gt;1&lt;/sup&gt; 4d&lt;sup&gt;7&lt;/sup&gt;|pre=Technetium|next=Rhodium|Metall=Metall|E-Name=Ruthenium|L-Name=</v>
      </c>
      <c r="AQ45" s="27" t="str">
        <f t="shared" si="5"/>
        <v>|Verwendung=|Wortherkunft=Ruthenium (von ''Ruthenia'', lateinisch für Russland)|L-Abk. bzw. redirect=#REDIRECT [[Ruthenium]]|radioaktiv=|hoch=Eisen|runter=Osmium|Bild-Element=|Bild-Verwendung=|www= wurde 1844 in Rußland durch Claus entdeckt.|E-Gruppe=|Sonstiges-kurz=|OZ3=044|WL=nichda|Text= }}
[[Kategorie:Chemie]][[Kategorie:Chemikalien]]</v>
      </c>
      <c r="AR45" s="31" t="e">
        <f t="shared" si="19"/>
        <v>#REF!</v>
      </c>
      <c r="AS45" t="str">
        <f t="shared" si="16"/>
        <v xml:space="preserve"> wurde 1844 in Rußland durch Claus entdeckt. http://www.webelements.com/webelements/elements/media/element-pics/Ru.jpg</v>
      </c>
    </row>
    <row r="46" spans="1:45" ht="18" customHeight="1">
      <c r="A46">
        <v>45</v>
      </c>
      <c r="B46" t="s">
        <v>96</v>
      </c>
      <c r="C46" t="s">
        <v>97</v>
      </c>
      <c r="D46">
        <v>102.91</v>
      </c>
      <c r="E46">
        <v>2.2000000000000002</v>
      </c>
      <c r="F46" s="36" t="s">
        <v>1186</v>
      </c>
      <c r="G46" s="54" t="s">
        <v>1140</v>
      </c>
      <c r="H46" t="s">
        <v>1233</v>
      </c>
      <c r="I46">
        <v>1804</v>
      </c>
      <c r="J46" t="s">
        <v>220</v>
      </c>
      <c r="K46" t="s">
        <v>873</v>
      </c>
      <c r="L46">
        <v>75</v>
      </c>
      <c r="M46" s="56" t="s">
        <v>1274</v>
      </c>
      <c r="N46" s="30">
        <v>719.68</v>
      </c>
      <c r="O46" t="s">
        <v>98</v>
      </c>
      <c r="P46" s="30">
        <v>1744.47</v>
      </c>
      <c r="Q46">
        <v>5</v>
      </c>
      <c r="R46" s="30">
        <v>2996.86</v>
      </c>
      <c r="S46" t="s">
        <v>1035</v>
      </c>
      <c r="U46" t="s">
        <v>648</v>
      </c>
      <c r="V46" t="s">
        <v>749</v>
      </c>
      <c r="W46" t="str">
        <f t="shared" si="7"/>
        <v>Ruthenium</v>
      </c>
      <c r="X46" t="str">
        <f t="shared" si="15"/>
        <v>Palladium</v>
      </c>
      <c r="Y46" t="s">
        <v>809</v>
      </c>
      <c r="Z46" s="16" t="s">
        <v>97</v>
      </c>
      <c r="AA46" s="35"/>
      <c r="AB46" s="16"/>
      <c r="AC46" s="27" t="s">
        <v>250</v>
      </c>
      <c r="AD46" s="27" t="str">
        <f t="shared" si="14"/>
        <v>#REDIRECT [[Rhodium]]</v>
      </c>
      <c r="AE46" s="7"/>
      <c r="AF46" t="str">
        <f>C28</f>
        <v>Cobalt</v>
      </c>
      <c r="AG46" t="str">
        <f t="shared" si="18"/>
        <v>Iridium</v>
      </c>
      <c r="AJ46" t="str">
        <f t="shared" si="2"/>
        <v xml:space="preserve"> wurde 1804 in England durch Wollaston entdeckt.</v>
      </c>
      <c r="AM46" t="str">
        <f t="shared" si="20"/>
        <v>045</v>
      </c>
      <c r="AN46" t="s">
        <v>1042</v>
      </c>
      <c r="AO46" s="27" t="e">
        <f>CONCATENATE("{{Element|Ordnungszahl=",A46,"|Symbol=",B46,"|Name=",C46,"|Atommasse=",#REF!,"|EN=",E46,"|BP=",F46,"|MP=",G46,"|Dichte=",H46,"|Ionenradius=",L46,"|Ivolt=",N46,"|Aradius=",M46)</f>
        <v>#REF!</v>
      </c>
      <c r="AP46" s="27" t="str">
        <f t="shared" si="4"/>
        <v>|Enthalpie=556.9|IVolt2=1744,47|Wert=5|IVolt3=2996,86|Farbe=silbrig-weiß|Flamme=|Elektronenkonfiguration=[Kr] 5s1 4d8|EK-Wiki=[Kr] 5s&lt;sup&gt;1&lt;/sup&gt; 4d&lt;sup&gt;8&lt;/sup&gt;|pre=Ruthenium|next=Palladium|Metall=Metall|E-Name=Rhodium|L-Name=</v>
      </c>
      <c r="AQ46" s="27" t="str">
        <f t="shared" si="5"/>
        <v>|Verwendung=|Wortherkunft=Rhodium (griechisch ''rhodon'' für Rose) wurde in einem Rohplatinerz entdeckt.|L-Abk. bzw. redirect=#REDIRECT [[Rhodium]]|radioaktiv=|hoch=Cobalt|runter=Iridium|Bild-Element=|Bild-Verwendung=|www= wurde 1804 in England durch Wollaston entdeckt.|E-Gruppe=|Sonstiges-kurz=|OZ3=045|WL=nichda|Text= }}
[[Kategorie:Chemie]][[Kategorie:Chemikalien]]</v>
      </c>
      <c r="AR46" s="31" t="e">
        <f t="shared" si="19"/>
        <v>#REF!</v>
      </c>
      <c r="AS46" t="str">
        <f t="shared" si="16"/>
        <v xml:space="preserve"> wurde 1804 in England durch Wollaston entdeckt. http://www.webelements.com/webelements/elements/media/element-pics/Rh.jpg</v>
      </c>
    </row>
    <row r="47" spans="1:45" ht="18" customHeight="1">
      <c r="A47">
        <v>46</v>
      </c>
      <c r="B47" t="s">
        <v>99</v>
      </c>
      <c r="C47" t="s">
        <v>100</v>
      </c>
      <c r="D47">
        <v>106.42</v>
      </c>
      <c r="E47">
        <v>2.2000000000000002</v>
      </c>
      <c r="F47" s="36" t="s">
        <v>1187</v>
      </c>
      <c r="G47" s="54" t="s">
        <v>1141</v>
      </c>
      <c r="H47" t="s">
        <v>1234</v>
      </c>
      <c r="I47">
        <v>1803</v>
      </c>
      <c r="J47" t="s">
        <v>220</v>
      </c>
      <c r="K47" t="s">
        <v>873</v>
      </c>
      <c r="L47">
        <v>86</v>
      </c>
      <c r="M47" s="56" t="s">
        <v>1273</v>
      </c>
      <c r="N47" s="30">
        <v>804.39</v>
      </c>
      <c r="O47" t="s">
        <v>101</v>
      </c>
      <c r="P47" s="30">
        <v>1874.72</v>
      </c>
      <c r="Q47">
        <v>6</v>
      </c>
      <c r="R47" s="30">
        <v>3177.28</v>
      </c>
      <c r="S47" t="s">
        <v>915</v>
      </c>
      <c r="U47" t="s">
        <v>649</v>
      </c>
      <c r="V47" t="s">
        <v>758</v>
      </c>
      <c r="W47" t="str">
        <f t="shared" si="7"/>
        <v>Rhodium</v>
      </c>
      <c r="X47" t="str">
        <f t="shared" si="15"/>
        <v>Silber</v>
      </c>
      <c r="Y47" t="s">
        <v>809</v>
      </c>
      <c r="Z47" s="16" t="s">
        <v>100</v>
      </c>
      <c r="AA47" s="35"/>
      <c r="AB47" s="16"/>
      <c r="AC47" s="27" t="s">
        <v>251</v>
      </c>
      <c r="AD47" s="27" t="str">
        <f t="shared" si="14"/>
        <v>#REDIRECT [[Palladium]]</v>
      </c>
      <c r="AE47" s="7"/>
      <c r="AF47" t="str">
        <f>C29</f>
        <v>Nickel</v>
      </c>
      <c r="AG47" t="str">
        <f t="shared" si="18"/>
        <v>Platin</v>
      </c>
      <c r="AJ47" t="str">
        <f t="shared" si="2"/>
        <v xml:space="preserve"> wurde 1803 in England durch Wollaston entdeckt.</v>
      </c>
      <c r="AM47" t="str">
        <f t="shared" si="20"/>
        <v>046</v>
      </c>
      <c r="AN47" t="s">
        <v>1042</v>
      </c>
      <c r="AO47" s="27" t="e">
        <f>CONCATENATE("{{Element|Ordnungszahl=",A47,"|Symbol=",B47,"|Name=",C47,"|Atommasse=",#REF!,"|EN=",E47,"|BP=",F47,"|MP=",G47,"|Dichte=",H47,"|Ionenradius=",L47,"|Ivolt=",N47,"|Aradius=",M47)</f>
        <v>#REF!</v>
      </c>
      <c r="AP47" s="27" t="str">
        <f t="shared" si="4"/>
        <v>|Enthalpie=378.2|IVolt2=1874,72|Wert=6|IVolt3=3177,28|Farbe=weiß|Flamme=|Elektronenkonfiguration=[Kr] 4d10|EK-Wiki=[Kr] 4d&lt;sup&gt;10&lt;/sup&gt;|pre=Rhodium|next=Silber|Metall=Metall|E-Name=Palladium|L-Name=</v>
      </c>
      <c r="AQ47" s="27" t="str">
        <f t="shared" si="5"/>
        <v>|Verwendung=|Wortherkunft=Palladium wurde 1804 nach dem zwei Jahre vorher entdeckten Asteroiden Pallas benannt.|L-Abk. bzw. redirect=#REDIRECT [[Palladium]]|radioaktiv=|hoch=Nickel|runter=Platin|Bild-Element=|Bild-Verwendung=|www= wurde 1803 in England durch Wollaston entdeckt.|E-Gruppe=|Sonstiges-kurz=|OZ3=046|WL=nichda|Text= }}
[[Kategorie:Chemie]][[Kategorie:Chemikalien]]</v>
      </c>
      <c r="AR47" s="31" t="e">
        <f t="shared" si="19"/>
        <v>#REF!</v>
      </c>
      <c r="AS47" t="str">
        <f t="shared" si="16"/>
        <v xml:space="preserve"> wurde 1803 in England durch Wollaston entdeckt. http://www.webelements.com/webelements/elements/media/element-pics/Pd.jpg</v>
      </c>
    </row>
    <row r="48" spans="1:45" ht="18" customHeight="1">
      <c r="A48">
        <v>47</v>
      </c>
      <c r="B48" t="s">
        <v>102</v>
      </c>
      <c r="C48" t="s">
        <v>103</v>
      </c>
      <c r="D48">
        <v>107.87</v>
      </c>
      <c r="E48">
        <v>1.9</v>
      </c>
      <c r="F48" s="36" t="s">
        <v>1085</v>
      </c>
      <c r="G48" s="54" t="s">
        <v>528</v>
      </c>
      <c r="H48" t="s">
        <v>457</v>
      </c>
      <c r="I48" t="s">
        <v>812</v>
      </c>
      <c r="L48">
        <v>113</v>
      </c>
      <c r="M48" s="56" t="s">
        <v>1272</v>
      </c>
      <c r="N48" s="30">
        <v>731.01</v>
      </c>
      <c r="O48" t="s">
        <v>104</v>
      </c>
      <c r="P48" s="30">
        <v>2073.48</v>
      </c>
      <c r="Q48">
        <v>1</v>
      </c>
      <c r="R48" s="30">
        <v>3360.61</v>
      </c>
      <c r="S48" t="s">
        <v>1033</v>
      </c>
      <c r="U48" t="s">
        <v>650</v>
      </c>
      <c r="V48" t="s">
        <v>759</v>
      </c>
      <c r="W48" t="str">
        <f>C47</f>
        <v>Palladium</v>
      </c>
      <c r="X48" t="str">
        <f t="shared" si="15"/>
        <v>Cadmium</v>
      </c>
      <c r="Y48" t="s">
        <v>809</v>
      </c>
      <c r="Z48" s="16" t="s">
        <v>134</v>
      </c>
      <c r="AA48" s="35" t="s">
        <v>959</v>
      </c>
      <c r="AB48" s="16"/>
      <c r="AC48" s="27" t="s">
        <v>1010</v>
      </c>
      <c r="AD48" s="27" t="str">
        <f>CONCATENATE("&lt;b&gt;{{PAGENAME}}&lt;/b&gt; ist das chemische Symbol für das [[PSE|Element]] &lt;b&gt;&amp;rarr; [[",C48,"]]&lt;/b&gt;, von lateinisch ",AA48,".
[[Kategorie:Chemie]][[Kategorie:Chemikalien]]")</f>
        <v>&lt;b&gt;{{PAGENAME}}&lt;/b&gt; ist das chemische Symbol für das [[PSE|Element]] &lt;b&gt;&amp;rarr; [[Silber]]&lt;/b&gt;, von lateinisch &lt;b&gt;&lt;i&gt;A&lt;/b&gt;r&lt;/b&gt;g&lt;/b&gt;entum&lt;/i&gt;.
[[Kategorie:Chemie]][[Kategorie:Chemikalien]]</v>
      </c>
      <c r="AE48" s="7"/>
      <c r="AF48" t="s">
        <v>46</v>
      </c>
      <c r="AG48" t="str">
        <f t="shared" si="18"/>
        <v>Gold</v>
      </c>
      <c r="AJ48" t="s">
        <v>965</v>
      </c>
      <c r="AM48" t="str">
        <f t="shared" si="20"/>
        <v>047</v>
      </c>
      <c r="AN48" t="s">
        <v>1041</v>
      </c>
      <c r="AO48" s="27" t="e">
        <f>CONCATENATE("{{Element|Ordnungszahl=",A48,"|Symbol=",B48,"|Name=",C48,"|Atommasse=",#REF!,"|EN=",E48,"|BP=",F48,"|MP=",G48,"|Dichte=",H48,"|Ionenradius=",L48,"|Ivolt=",N48,"|Aradius=",M48)</f>
        <v>#REF!</v>
      </c>
      <c r="AP48" s="27" t="str">
        <f t="shared" si="4"/>
        <v>|Enthalpie=284.6|IVolt2=2073,48|Wert=1|IVolt3=3360,61|Farbe=silbrig|Flamme=|Elektronenkonfiguration=[Kr] 5s1 4d10|EK-Wiki=[Kr] 5s&lt;sup&gt;1&lt;/sup&gt; 4d&lt;sup&gt;10&lt;/sup&gt;|pre=Palladium|next=Cadmium|Metall=Metall|E-Name=Silver|L-Name=&lt;b&gt;&lt;i&gt;A&lt;/b&gt;r&lt;/b&gt;g&lt;/b&gt;entum&lt;/i&gt;</v>
      </c>
      <c r="AQ48" s="27" t="str">
        <f t="shared" si="5"/>
        <v>|Verwendung=|Wortherkunft=Das Elementsymbol Ag leitet sich von dem lateinischen Wort '''A'''r'''g'''entum = Silber ab. Es ist neben Kupfer eines von nur zwei Elementen , welche Namensgeber für ein Land sind (Silber für Argentinien und Kupfer für Zypern), während der umgekehrte Fall häufiger vorkommt. Der deutsche Name Silber stammt vom althochdeutschen Wort Silabar, das möglicherweise auf Homers Sagenland ''Salybe'' zurückgeht.|L-Abk. bzw. redirect=&lt;b&gt;{{PAGENAME}}&lt;/b&gt; ist das chemische Symbol für das [[PSE|Element]] &lt;b&gt;&amp;rarr; [[Silber]]&lt;/b&gt;, von lateinisch &lt;b&gt;&lt;i&gt;A&lt;/b&gt;r&lt;/b&gt;g&lt;/b&gt;entum&lt;/i&gt;.
[[Kategorie:Chemie]][[Kategorie:Chemikalien]]|radioaktiv=|hoch=Kupfer|runter=Gold|Bild-Element=|Bild-Verwendung=|www= ist seit dem Altertum bekannt.|E-Gruppe=|Sonstiges-kurz=|OZ3=047|WL=Sammlung|Text= }}
[[Kategorie:Chemie]][[Kategorie:Chemikalien]]</v>
      </c>
      <c r="AR48" s="31" t="e">
        <f t="shared" si="19"/>
        <v>#REF!</v>
      </c>
      <c r="AS48" t="str">
        <f t="shared" si="16"/>
        <v xml:space="preserve"> ist seit dem Altertum bekannt. http://www.webelements.com/webelements/elements/media/element-pics/Ag.jpg</v>
      </c>
    </row>
    <row r="49" spans="1:45" ht="18" customHeight="1">
      <c r="A49">
        <v>48</v>
      </c>
      <c r="B49" t="s">
        <v>105</v>
      </c>
      <c r="C49" t="s">
        <v>106</v>
      </c>
      <c r="D49">
        <v>112.41</v>
      </c>
      <c r="E49">
        <v>1.7</v>
      </c>
      <c r="F49" s="36" t="s">
        <v>510</v>
      </c>
      <c r="G49" s="54" t="s">
        <v>511</v>
      </c>
      <c r="H49" t="s">
        <v>1225</v>
      </c>
      <c r="I49">
        <v>1817</v>
      </c>
      <c r="J49" t="s">
        <v>221</v>
      </c>
      <c r="K49" t="s">
        <v>926</v>
      </c>
      <c r="L49">
        <v>103</v>
      </c>
      <c r="M49" s="56" t="s">
        <v>1280</v>
      </c>
      <c r="N49" s="30">
        <v>867.78</v>
      </c>
      <c r="O49">
        <v>112</v>
      </c>
      <c r="P49" s="30">
        <v>1631.42</v>
      </c>
      <c r="Q49">
        <v>2</v>
      </c>
      <c r="R49" s="30">
        <v>3616.3</v>
      </c>
      <c r="S49" t="s">
        <v>1035</v>
      </c>
      <c r="U49" t="s">
        <v>651</v>
      </c>
      <c r="V49" t="s">
        <v>760</v>
      </c>
      <c r="W49" t="str">
        <f t="shared" si="7"/>
        <v>Silber</v>
      </c>
      <c r="X49" t="str">
        <f t="shared" si="15"/>
        <v>Indium</v>
      </c>
      <c r="Y49" t="s">
        <v>809</v>
      </c>
      <c r="Z49" s="16" t="s">
        <v>106</v>
      </c>
      <c r="AA49" s="35"/>
      <c r="AB49" s="16"/>
      <c r="AC49" s="27" t="s">
        <v>252</v>
      </c>
      <c r="AD49" s="27" t="str">
        <f>CONCATENATE("#REDIRECT [[",C49,"]]")</f>
        <v>#REDIRECT [[Cadmium]]</v>
      </c>
      <c r="AE49" s="7"/>
      <c r="AF49" t="s">
        <v>50</v>
      </c>
      <c r="AG49" t="str">
        <f t="shared" si="18"/>
        <v>Quecksilber</v>
      </c>
      <c r="AJ49" t="str">
        <f t="shared" si="2"/>
        <v xml:space="preserve"> wurde 1817 in Deutschland durch Stromeyer entdeckt.</v>
      </c>
      <c r="AM49" t="str">
        <f t="shared" si="20"/>
        <v>048</v>
      </c>
      <c r="AN49" t="s">
        <v>1041</v>
      </c>
      <c r="AO49" s="27" t="e">
        <f>CONCATENATE("{{Element|Ordnungszahl=",A49,"|Symbol=",B49,"|Name=",C49,"|Atommasse=",#REF!,"|EN=",E49,"|BP=",F49,"|MP=",G49,"|Dichte=",H49,"|Ionenradius=",L49,"|Ivolt=",N49,"|Aradius=",M49)</f>
        <v>#REF!</v>
      </c>
      <c r="AP49" s="27" t="str">
        <f t="shared" si="4"/>
        <v>|Enthalpie=112|IVolt2=1631,42|Wert=2|IVolt3=3616,3|Farbe=silbrig-weiß|Flamme=|Elektronenkonfiguration=[Kr] 5s2 4d10|EK-Wiki=[Kr] 5s&lt;sup&gt;2&lt;/sup&gt; 4d&lt;sup&gt;10&lt;/sup&gt;|pre=Silber|next=Indium|Metall=Metall|E-Name=Cadmium|L-Name=</v>
      </c>
      <c r="AQ49" s="27" t="str">
        <f t="shared" si="5"/>
        <v>|Verwendung=|Wortherkunft=Das Wort Cadmium zu lat. cadmea oder cadmia, welches sich von dem altgriechischen Wort kadmía = Zinkerz herleitet.|L-Abk. bzw. redirect=#REDIRECT [[Cadmium]]|radioaktiv=|hoch=Zink|runter=Quecksilber|Bild-Element=|Bild-Verwendung=|www= wurde 1817 in Deutschland durch Stromeyer entdeckt.|E-Gruppe=|Sonstiges-kurz=|OZ3=048|WL=Sammlung|Text= }}
[[Kategorie:Chemie]][[Kategorie:Chemikalien]]</v>
      </c>
      <c r="AR49" s="31" t="e">
        <f t="shared" si="19"/>
        <v>#REF!</v>
      </c>
      <c r="AS49" t="str">
        <f t="shared" si="16"/>
        <v xml:space="preserve"> wurde 1817 in Deutschland durch Stromeyer entdeckt. http://www.webelements.com/webelements/elements/media/element-pics/Cd.jpg</v>
      </c>
    </row>
    <row r="50" spans="1:45" ht="18" customHeight="1">
      <c r="A50">
        <v>49</v>
      </c>
      <c r="B50" t="s">
        <v>107</v>
      </c>
      <c r="C50" t="s">
        <v>108</v>
      </c>
      <c r="D50">
        <v>114.82</v>
      </c>
      <c r="E50">
        <v>1.7</v>
      </c>
      <c r="F50" s="36" t="s">
        <v>1071</v>
      </c>
      <c r="G50" s="54" t="s">
        <v>1142</v>
      </c>
      <c r="H50" t="s">
        <v>458</v>
      </c>
      <c r="I50">
        <v>1863</v>
      </c>
      <c r="J50" t="s">
        <v>222</v>
      </c>
      <c r="K50" t="s">
        <v>926</v>
      </c>
      <c r="L50">
        <v>92</v>
      </c>
      <c r="M50" s="56" t="s">
        <v>1280</v>
      </c>
      <c r="N50" s="30">
        <v>558.29999999999995</v>
      </c>
      <c r="O50" t="s">
        <v>109</v>
      </c>
      <c r="P50" s="30">
        <v>1820.67</v>
      </c>
      <c r="Q50">
        <v>3</v>
      </c>
      <c r="R50" s="30">
        <v>2704.5</v>
      </c>
      <c r="S50" t="s">
        <v>1035</v>
      </c>
      <c r="T50" t="s">
        <v>110</v>
      </c>
      <c r="U50" t="s">
        <v>664</v>
      </c>
      <c r="V50" t="s">
        <v>761</v>
      </c>
      <c r="W50" t="str">
        <f t="shared" si="7"/>
        <v>Cadmium</v>
      </c>
      <c r="X50" t="str">
        <f t="shared" si="15"/>
        <v>Zinn</v>
      </c>
      <c r="Y50" t="s">
        <v>809</v>
      </c>
      <c r="Z50" s="16" t="s">
        <v>108</v>
      </c>
      <c r="AA50" s="35"/>
      <c r="AB50" s="16"/>
      <c r="AC50" s="27" t="s">
        <v>253</v>
      </c>
      <c r="AD50" s="27" t="str">
        <f>CONCATENATE("#REDIRECT [[",C50,"]]")</f>
        <v>#REDIRECT [[Indium]]</v>
      </c>
      <c r="AE50" s="7"/>
      <c r="AF50" t="str">
        <f>C32</f>
        <v>Gallium</v>
      </c>
      <c r="AG50" t="str">
        <f t="shared" si="18"/>
        <v>Thallium</v>
      </c>
      <c r="AJ50" t="str">
        <f t="shared" si="2"/>
        <v xml:space="preserve"> wurde 1863 in Deutschland durch Reich, Richter entdeckt.</v>
      </c>
      <c r="AM50" t="str">
        <f t="shared" si="20"/>
        <v>049</v>
      </c>
      <c r="AN50" t="s">
        <v>1042</v>
      </c>
      <c r="AO50" s="27" t="e">
        <f>CONCATENATE("{{Element|Ordnungszahl=",A50,"|Symbol=",B50,"|Name=",C50,"|Atommasse=",#REF!,"|EN=",E50,"|BP=",F50,"|MP=",G50,"|Dichte=",H50,"|Ionenradius=",L50,"|Ivolt=",N50,"|Aradius=",M50)</f>
        <v>#REF!</v>
      </c>
      <c r="AP50" s="27" t="str">
        <f t="shared" si="4"/>
        <v>|Enthalpie=243.3|IVolt2=1820,67|Wert=3|IVolt3=2704,5|Farbe=silbrig-weiß|Flamme=violettblau|Elektronenkonfiguration=[Kr] 5s2 4d10 5p1|EK-Wiki=[Kr] 5s&lt;sup&gt;2&lt;/sup&gt; 4d&lt;sup&gt;10&lt;/sup&gt; 5p&lt;sup&gt;1&lt;/sup&gt;|pre=Cadmium|next=Zinn|Metall=Metall|E-Name=Indium|L-Name=</v>
      </c>
      <c r="AQ50" s="27" t="str">
        <f t="shared" si="5"/>
        <v>|Verwendung=|Wortherkunft=Indium (benannt nach der ''indigo''farbenen Absorptionsbande im Linienspektrum)|L-Abk. bzw. redirect=#REDIRECT [[Indium]]|radioaktiv=|hoch=Gallium|runter=Thallium|Bild-Element=|Bild-Verwendung=|www= wurde 1863 in Deutschland durch Reich, Richter entdeckt.|E-Gruppe=|Sonstiges-kurz=|OZ3=049|WL=nichda|Text= }}
[[Kategorie:Chemie]][[Kategorie:Chemikalien]]</v>
      </c>
      <c r="AR50" s="31" t="e">
        <f t="shared" si="19"/>
        <v>#REF!</v>
      </c>
      <c r="AS50" t="str">
        <f t="shared" si="16"/>
        <v xml:space="preserve"> wurde 1863 in Deutschland durch Reich, Richter entdeckt. http://www.webelements.com/webelements/elements/media/element-pics/In.jpg</v>
      </c>
    </row>
    <row r="51" spans="1:45" ht="18" customHeight="1">
      <c r="A51">
        <v>50</v>
      </c>
      <c r="B51" t="s">
        <v>111</v>
      </c>
      <c r="C51" t="s">
        <v>112</v>
      </c>
      <c r="D51">
        <v>118.71</v>
      </c>
      <c r="E51">
        <v>1.8</v>
      </c>
      <c r="F51" s="36" t="s">
        <v>1188</v>
      </c>
      <c r="G51" s="54" t="s">
        <v>512</v>
      </c>
      <c r="H51" s="42" t="s">
        <v>458</v>
      </c>
      <c r="I51" t="s">
        <v>812</v>
      </c>
      <c r="L51">
        <v>74</v>
      </c>
      <c r="M51" s="56" t="s">
        <v>1257</v>
      </c>
      <c r="N51" s="30">
        <v>708.58</v>
      </c>
      <c r="O51" t="s">
        <v>113</v>
      </c>
      <c r="P51" s="30">
        <v>1411.81</v>
      </c>
      <c r="Q51">
        <v>6</v>
      </c>
      <c r="R51" s="30">
        <v>2943.07</v>
      </c>
      <c r="S51" t="s">
        <v>915</v>
      </c>
      <c r="U51" t="s">
        <v>665</v>
      </c>
      <c r="V51" t="s">
        <v>762</v>
      </c>
      <c r="W51" t="str">
        <f t="shared" si="7"/>
        <v>Indium</v>
      </c>
      <c r="X51" t="str">
        <f t="shared" si="15"/>
        <v>Antimon</v>
      </c>
      <c r="Y51" t="s">
        <v>809</v>
      </c>
      <c r="Z51" s="16" t="s">
        <v>140</v>
      </c>
      <c r="AA51" s="35" t="s">
        <v>960</v>
      </c>
      <c r="AB51" s="16"/>
      <c r="AC51" s="27" t="s">
        <v>0</v>
      </c>
      <c r="AD51" s="27" t="str">
        <f>CONCATENATE("&lt;b&gt;{{PAGENAME}}&lt;/b&gt; ist das chemische Symbol für das [[PSE|Element]] &lt;b&gt;&amp;rarr; [[",C51,"]]&lt;/b&gt;, von lateinisch ",AA51,".
[[Kategorie:Chemie]][[Kategorie:Chemikalien]]")</f>
        <v>&lt;b&gt;{{PAGENAME}}&lt;/b&gt; ist das chemische Symbol für das [[PSE|Element]] &lt;b&gt;&amp;rarr; [[Zinn]]&lt;/b&gt;, von lateinisch &lt;b&gt;&lt;i&gt;S&lt;/b&gt;ta&lt;/b&gt;n&lt;/b&gt;num&lt;/i&gt;.
[[Kategorie:Chemie]][[Kategorie:Chemikalien]]</v>
      </c>
      <c r="AE51" s="7"/>
      <c r="AF51" t="s">
        <v>56</v>
      </c>
      <c r="AG51" t="str">
        <f t="shared" si="18"/>
        <v>Blei</v>
      </c>
      <c r="AJ51" t="s">
        <v>965</v>
      </c>
      <c r="AM51" t="str">
        <f t="shared" si="20"/>
        <v>050</v>
      </c>
      <c r="AN51" t="s">
        <v>1041</v>
      </c>
      <c r="AO51" s="27" t="e">
        <f>CONCATENATE("{{Element|Ordnungszahl=",A51,"|Symbol=",B51,"|Name=",C51,"|Atommasse=",#REF!,"|EN=",E51,"|BP=",F51,"|MP=",G51,"|Dichte=",H51,"|Ionenradius=",L51,"|Ivolt=",N51,"|Aradius=",M51)</f>
        <v>#REF!</v>
      </c>
      <c r="AP51" s="27" t="str">
        <f t="shared" si="4"/>
        <v>|Enthalpie=302.1|IVolt2=1411,81|Wert=6|IVolt3=2943,07|Farbe=weiß|Flamme=|Elektronenkonfiguration=[Kr] 5s2 4d10 5p2|EK-Wiki=[Kr] 5s&lt;sup&gt;2&lt;/sup&gt; 4d&lt;sup&gt;10&lt;/sup&gt; 5p&lt;sup&gt;2&lt;/sup&gt;|pre=Indium|next=Antimon|Metall=Metall|E-Name=Tin|L-Name=&lt;b&gt;&lt;i&gt;S&lt;/b&gt;ta&lt;/b&gt;n&lt;/b&gt;num&lt;/i&gt;</v>
      </c>
      <c r="AQ51" s="27" t="str">
        <f t="shared" si="5"/>
        <v>|Verwendung=|Wortherkunft='Zinn''' (Germanische Sprachen|altgermanische Bezeichnung: z. B. althochdeutsch ''zin'' = Stab, Zinn). Das Metall Zinn wurde ursprünglich in Stabform gegossen. Im Lateinischen heißt Zinn "''stannum''", daher rührt auch das chem. Symbol Sn.|L-Abk. bzw. redirect=&lt;b&gt;{{PAGENAME}}&lt;/b&gt; ist das chemische Symbol für das [[PSE|Element]] &lt;b&gt;&amp;rarr; [[Zinn]]&lt;/b&gt;, von lateinisch &lt;b&gt;&lt;i&gt;S&lt;/b&gt;ta&lt;/b&gt;n&lt;/b&gt;num&lt;/i&gt;.
[[Kategorie:Chemie]][[Kategorie:Chemikalien]]|radioaktiv=|hoch=Germanium|runter=Blei|Bild-Element=|Bild-Verwendung=|www= ist seit dem Altertum bekannt.|E-Gruppe=|Sonstiges-kurz=|OZ3=050|WL=Sammlung|Text= }}
[[Kategorie:Chemie]][[Kategorie:Chemikalien]]</v>
      </c>
      <c r="AR51" s="31" t="e">
        <f t="shared" si="19"/>
        <v>#REF!</v>
      </c>
      <c r="AS51" t="str">
        <f t="shared" si="16"/>
        <v xml:space="preserve"> ist seit dem Altertum bekannt. http://www.webelements.com/webelements/elements/media/element-pics/Sn.jpg</v>
      </c>
    </row>
    <row r="52" spans="1:45" ht="18" customHeight="1">
      <c r="A52">
        <v>51</v>
      </c>
      <c r="B52" t="s">
        <v>114</v>
      </c>
      <c r="C52" t="s">
        <v>115</v>
      </c>
      <c r="D52">
        <v>121.76</v>
      </c>
      <c r="E52">
        <v>1.9</v>
      </c>
      <c r="F52" s="36" t="s">
        <v>1189</v>
      </c>
      <c r="G52" s="54" t="s">
        <v>513</v>
      </c>
      <c r="H52" s="42" t="s">
        <v>1211</v>
      </c>
      <c r="I52" t="s">
        <v>812</v>
      </c>
      <c r="L52">
        <v>62</v>
      </c>
      <c r="M52" s="56" t="s">
        <v>1257</v>
      </c>
      <c r="N52" s="30">
        <v>830.59</v>
      </c>
      <c r="O52" t="s">
        <v>116</v>
      </c>
      <c r="P52" s="30">
        <v>1594.96</v>
      </c>
      <c r="Q52">
        <v>8</v>
      </c>
      <c r="R52" s="30">
        <v>2441.1</v>
      </c>
      <c r="S52" t="s">
        <v>52</v>
      </c>
      <c r="U52" t="s">
        <v>666</v>
      </c>
      <c r="V52" t="s">
        <v>763</v>
      </c>
      <c r="W52" t="str">
        <f t="shared" si="7"/>
        <v>Zinn</v>
      </c>
      <c r="X52" t="str">
        <f t="shared" si="15"/>
        <v>Tellur</v>
      </c>
      <c r="Y52" t="s">
        <v>811</v>
      </c>
      <c r="Z52" s="16" t="s">
        <v>139</v>
      </c>
      <c r="AA52" s="35" t="s">
        <v>961</v>
      </c>
      <c r="AB52" s="16"/>
      <c r="AC52" s="27" t="s">
        <v>254</v>
      </c>
      <c r="AD52" s="27" t="str">
        <f>CONCATENATE("&lt;b&gt;{{PAGENAME}}&lt;/b&gt; ist das chemische Symbol für das [[PSE|Element]] &lt;b&gt;&amp;rarr; [[",C52,"]]&lt;/b&gt;, von lateinisch ",AA52,".
[[Kategorie:Chemie]][[Kategorie:Chemikalien]]")</f>
        <v>&lt;b&gt;{{PAGENAME}}&lt;/b&gt; ist das chemische Symbol für das [[PSE|Element]] &lt;b&gt;&amp;rarr; [[Antimon]]&lt;/b&gt;, von lateinisch &lt;b&gt;&lt;i&gt;S&lt;/b&gt;ti&lt;/b&gt;b&lt;/b&gt;ium&lt;/i&gt;.
[[Kategorie:Chemie]][[Kategorie:Chemikalien]]</v>
      </c>
      <c r="AE52" s="7"/>
      <c r="AF52" t="s">
        <v>59</v>
      </c>
      <c r="AG52" t="str">
        <f t="shared" si="18"/>
        <v>Bismut</v>
      </c>
      <c r="AJ52" t="s">
        <v>965</v>
      </c>
      <c r="AM52" t="str">
        <f t="shared" si="20"/>
        <v>051</v>
      </c>
      <c r="AN52" t="s">
        <v>1041</v>
      </c>
      <c r="AO52" s="27" t="e">
        <f>CONCATENATE("{{Element|Ordnungszahl=",A52,"|Symbol=",B52,"|Name=",C52,"|Atommasse=",#REF!,"|EN=",E52,"|BP=",F52,"|MP=",G52,"|Dichte=",H52,"|Ionenradius=",L52,"|Ivolt=",N52,"|Aradius=",M52)</f>
        <v>#REF!</v>
      </c>
      <c r="AP52" s="27" t="str">
        <f t="shared" si="4"/>
        <v>|Enthalpie=262.3|IVolt2=1594,96|Wert=8|IVolt3=2441,1|Farbe=blau-weiß|Flamme=|Elektronenkonfiguration=[Kr] 5s2 4d10 5p3|EK-Wiki=[Kr] 5s&lt;sup&gt;2&lt;/sup&gt; 4d&lt;sup&gt;10&lt;/sup&gt; 5p&lt;sup&gt;3&lt;/sup&gt;|pre=Zinn|next=Tellur|Metall=Halbmetall|E-Name=Antimony|L-Name=&lt;b&gt;&lt;i&gt;S&lt;/b&gt;ti&lt;/b&gt;b&lt;/b&gt;ium&lt;/i&gt;</v>
      </c>
      <c r="AQ52" s="27" t="str">
        <f t="shared" si="5"/>
        <v>|Verwendung=|Wortherkunft=Das Wort Antimon kommt vermutlich von arabischen itmid, das Symbol vom lateinischen stibium (= Grauspießglanz). Antimon schon in der Bronzezeit als Zuschlag zu Kupfer verwendet, um Bronze herzustellen. Im 17. Jahrhundert ging der Name Antimon als Bezeichnung auf das Metall über. ie Kopten|koptische Bezeichnung für den Schminkpuder Antimonsulfid ging über das Griechische in das Lateinische stibium über. Die Abkürzung Sb|L-Abk. bzw. redirect=&lt;b&gt;{{PAGENAME}}&lt;/b&gt; ist das chemische Symbol für das [[PSE|Element]] &lt;b&gt;&amp;rarr; [[Antimon]]&lt;/b&gt;, von lateinisch &lt;b&gt;&lt;i&gt;S&lt;/b&gt;ti&lt;/b&gt;b&lt;/b&gt;ium&lt;/i&gt;.
[[Kategorie:Chemie]][[Kategorie:Chemikalien]]|radioaktiv=|hoch=Arsen|runter=Bismut|Bild-Element=|Bild-Verwendung=|www= ist seit dem Altertum bekannt.|E-Gruppe=|Sonstiges-kurz=|OZ3=051|WL=Sammlung|Text= }}
[[Kategorie:Chemie]][[Kategorie:Chemikalien]]</v>
      </c>
      <c r="AR52" s="31" t="e">
        <f t="shared" si="19"/>
        <v>#REF!</v>
      </c>
      <c r="AS52" t="str">
        <f t="shared" si="16"/>
        <v xml:space="preserve"> ist seit dem Altertum bekannt. http://www.webelements.com/webelements/elements/media/element-pics/Sb.jpg</v>
      </c>
    </row>
    <row r="53" spans="1:45" ht="18" customHeight="1">
      <c r="A53">
        <v>52</v>
      </c>
      <c r="B53" t="s">
        <v>117</v>
      </c>
      <c r="C53" t="s">
        <v>118</v>
      </c>
      <c r="D53">
        <v>127.6</v>
      </c>
      <c r="E53">
        <v>2.1</v>
      </c>
      <c r="F53" s="36" t="s">
        <v>1190</v>
      </c>
      <c r="G53" s="54" t="s">
        <v>514</v>
      </c>
      <c r="H53" t="s">
        <v>1104</v>
      </c>
      <c r="I53">
        <v>1783</v>
      </c>
      <c r="J53" t="s">
        <v>223</v>
      </c>
      <c r="K53" t="s">
        <v>119</v>
      </c>
      <c r="L53">
        <v>97</v>
      </c>
      <c r="M53" s="56" t="s">
        <v>1273</v>
      </c>
      <c r="N53" s="30">
        <v>869.3</v>
      </c>
      <c r="O53" t="s">
        <v>120</v>
      </c>
      <c r="P53" s="30">
        <v>1794.64</v>
      </c>
      <c r="Q53">
        <v>2</v>
      </c>
      <c r="R53" s="30">
        <v>2697.75</v>
      </c>
      <c r="S53" t="s">
        <v>1035</v>
      </c>
      <c r="U53" t="s">
        <v>667</v>
      </c>
      <c r="V53" t="s">
        <v>764</v>
      </c>
      <c r="W53" t="str">
        <f t="shared" si="7"/>
        <v>Antimon</v>
      </c>
      <c r="X53" t="str">
        <f t="shared" si="15"/>
        <v>Iod</v>
      </c>
      <c r="Y53" t="s">
        <v>811</v>
      </c>
      <c r="Z53" s="16" t="s">
        <v>848</v>
      </c>
      <c r="AA53" s="35"/>
      <c r="AB53" s="16"/>
      <c r="AC53" s="27" t="s">
        <v>255</v>
      </c>
      <c r="AD53" s="27" t="str">
        <f t="shared" ref="AD53:AD66" si="21">CONCATENATE("#REDIRECT [[",C53,"]]")</f>
        <v>#REDIRECT [[Tellur]]</v>
      </c>
      <c r="AE53" s="7"/>
      <c r="AF53" t="str">
        <f>C35</f>
        <v>Selen</v>
      </c>
      <c r="AG53" t="str">
        <f t="shared" si="18"/>
        <v>Polonium</v>
      </c>
      <c r="AJ53" t="str">
        <f t="shared" si="2"/>
        <v xml:space="preserve"> wurde 1783 in Rumänien durch Müller entdeckt.</v>
      </c>
      <c r="AM53" t="str">
        <f t="shared" si="20"/>
        <v>052</v>
      </c>
      <c r="AN53" t="s">
        <v>1042</v>
      </c>
      <c r="AO53" s="27" t="e">
        <f>CONCATENATE("{{Element|Ordnungszahl=",A53,"|Symbol=",B53,"|Name=",C53,"|Atommasse=",#REF!,"|EN=",E53,"|BP=",F53,"|MP=",G53,"|Dichte=",H53,"|Ionenradius=",L53,"|Ivolt=",N53,"|Aradius=",M53)</f>
        <v>#REF!</v>
      </c>
      <c r="AP53" s="27" t="str">
        <f t="shared" si="4"/>
        <v>|Enthalpie=196.7|IVolt2=1794,64|Wert=2|IVolt3=2697,75|Farbe=silbrig-weiß|Flamme=|Elektronenkonfiguration=[Kr] 5s2 4d10 5p4|EK-Wiki=[Kr] 5s&lt;sup&gt;2&lt;/sup&gt; 4d&lt;sup&gt;10&lt;/sup&gt; 5p&lt;sup&gt;4&lt;/sup&gt;|pre=Antimon|next=Iod|Metall=Halbmetall|E-Name=Tellurium|L-Name=</v>
      </c>
      <c r="AQ53" s="27" t="str">
        <f t="shared" si="5"/>
        <v>|Verwendung=|Wortherkunft=Tellur (lateinisch ''tellus'' für Erde)|L-Abk. bzw. redirect=#REDIRECT [[Tellur]]|radioaktiv=|hoch=Selen|runter=Polonium|Bild-Element=|Bild-Verwendung=|www= wurde 1783 in Rumänien durch Müller entdeckt.|E-Gruppe=|Sonstiges-kurz=|OZ3=052|WL=nichda|Text= }}
[[Kategorie:Chemie]][[Kategorie:Chemikalien]]</v>
      </c>
      <c r="AR53" s="31" t="e">
        <f t="shared" si="19"/>
        <v>#REF!</v>
      </c>
      <c r="AS53" t="str">
        <f t="shared" si="16"/>
        <v xml:space="preserve"> wurde 1783 in Rumänien durch Müller entdeckt. http://www.webelements.com/webelements/elements/media/element-pics/Te.jpg</v>
      </c>
    </row>
    <row r="54" spans="1:45" ht="18" customHeight="1">
      <c r="A54">
        <v>53</v>
      </c>
      <c r="B54" t="s">
        <v>814</v>
      </c>
      <c r="C54" t="s">
        <v>121</v>
      </c>
      <c r="D54">
        <v>126.9</v>
      </c>
      <c r="E54">
        <v>2.5</v>
      </c>
      <c r="F54" s="36" t="s">
        <v>1191</v>
      </c>
      <c r="G54" s="54" t="s">
        <v>515</v>
      </c>
      <c r="H54" t="s">
        <v>459</v>
      </c>
      <c r="I54">
        <v>1811</v>
      </c>
      <c r="J54" t="s">
        <v>224</v>
      </c>
      <c r="K54" t="s">
        <v>886</v>
      </c>
      <c r="L54">
        <v>220</v>
      </c>
      <c r="M54" s="56" t="s">
        <v>1273</v>
      </c>
      <c r="N54" s="30">
        <v>1008.4</v>
      </c>
      <c r="O54" t="s">
        <v>122</v>
      </c>
      <c r="P54" s="30">
        <v>1845.9</v>
      </c>
      <c r="Q54">
        <v>-1</v>
      </c>
      <c r="R54" s="30">
        <v>3184.04</v>
      </c>
      <c r="S54" t="s">
        <v>123</v>
      </c>
      <c r="U54" t="s">
        <v>668</v>
      </c>
      <c r="V54" t="s">
        <v>765</v>
      </c>
      <c r="W54" t="str">
        <f t="shared" si="7"/>
        <v>Tellur</v>
      </c>
      <c r="X54" t="str">
        <f t="shared" si="15"/>
        <v>Xenon</v>
      </c>
      <c r="Y54" t="s">
        <v>810</v>
      </c>
      <c r="Z54" s="16" t="s">
        <v>832</v>
      </c>
      <c r="AA54" s="35"/>
      <c r="AB54" s="16"/>
      <c r="AC54" s="27" t="s">
        <v>256</v>
      </c>
      <c r="AD54" s="27" t="str">
        <f t="shared" si="21"/>
        <v>#REDIRECT [[Iod]]</v>
      </c>
      <c r="AE54" s="7"/>
      <c r="AF54" t="str">
        <f>C36</f>
        <v>Brom</v>
      </c>
      <c r="AG54" t="str">
        <f t="shared" si="18"/>
        <v>Astat</v>
      </c>
      <c r="AJ54" t="str">
        <f t="shared" si="2"/>
        <v xml:space="preserve"> wurde 1811 in Frankreich durch Courtois entdeckt.</v>
      </c>
      <c r="AM54" t="str">
        <f t="shared" si="20"/>
        <v>053</v>
      </c>
      <c r="AN54" t="s">
        <v>1041</v>
      </c>
      <c r="AO54" s="27" t="e">
        <f>CONCATENATE("{{Element|Ordnungszahl=",A54,"|Symbol=",B54,"|Name=",C54,"|Atommasse=",#REF!,"|EN=",E54,"|BP=",F54,"|MP=",G54,"|Dichte=",H54,"|Ionenradius=",L54,"|Ivolt=",N54,"|Aradius=",M54)</f>
        <v>#REF!</v>
      </c>
      <c r="AP54" s="27" t="str">
        <f t="shared" si="4"/>
        <v>|Enthalpie=106.8|IVolt2=1845,9|Wert=-1|IVolt3=3184,04|Farbe=schwarzgrau|Flamme=|Elektronenkonfiguration=[Kr] 5s2 4d10 5p5|EK-Wiki=[Kr] 5s&lt;sup&gt;2&lt;/sup&gt; 4d&lt;sup&gt;10&lt;/sup&gt; 5p&lt;sup&gt;5&lt;/sup&gt;|pre=Tellur|next=Xenon|Metall=Nichtmetall|E-Name=Iodine|L-Name=</v>
      </c>
      <c r="AQ54" s="27" t="str">
        <f t="shared" si="5"/>
        <v>|Verwendung=|Wortherkunft=Iod (vom altgriechischen Wort ιο-ειδης = veilchenfarbig, wegen der violetten Farbe von Ioddämpfen).|L-Abk. bzw. redirect=#REDIRECT [[Iod]]|radioaktiv=|hoch=Brom|runter=Astat|Bild-Element=|Bild-Verwendung=|www= wurde 1811 in Frankreich durch Courtois entdeckt.|E-Gruppe=|Sonstiges-kurz=|OZ3=053|WL=Sammlung|Text= }}
[[Kategorie:Chemie]][[Kategorie:Chemikalien]]</v>
      </c>
      <c r="AR54" s="31" t="e">
        <f t="shared" si="19"/>
        <v>#REF!</v>
      </c>
      <c r="AS54" t="str">
        <f t="shared" si="16"/>
        <v xml:space="preserve"> wurde 1811 in Frankreich durch Courtois entdeckt. http://www.webelements.com/webelements/elements/media/element-pics/I.jpg</v>
      </c>
    </row>
    <row r="55" spans="1:45" ht="18" customHeight="1">
      <c r="A55">
        <v>54</v>
      </c>
      <c r="B55" t="s">
        <v>124</v>
      </c>
      <c r="C55" t="s">
        <v>125</v>
      </c>
      <c r="D55">
        <v>131.29</v>
      </c>
      <c r="E55">
        <v>0</v>
      </c>
      <c r="F55" s="36" t="s">
        <v>516</v>
      </c>
      <c r="G55" s="54" t="s">
        <v>517</v>
      </c>
      <c r="H55" s="42" t="s">
        <v>1253</v>
      </c>
      <c r="I55">
        <v>1898</v>
      </c>
      <c r="J55" t="s">
        <v>225</v>
      </c>
      <c r="K55" t="s">
        <v>873</v>
      </c>
      <c r="L55">
        <v>190</v>
      </c>
      <c r="M55" s="56" t="s">
        <v>1273</v>
      </c>
      <c r="N55" s="30">
        <v>1170.3599999999999</v>
      </c>
      <c r="O55">
        <v>0</v>
      </c>
      <c r="P55" s="30">
        <v>2046.45</v>
      </c>
      <c r="Q55" t="s">
        <v>874</v>
      </c>
      <c r="R55" s="30">
        <v>3099.42</v>
      </c>
      <c r="S55" t="s">
        <v>875</v>
      </c>
      <c r="U55" t="s">
        <v>669</v>
      </c>
      <c r="V55" t="s">
        <v>766</v>
      </c>
      <c r="W55" t="str">
        <f t="shared" si="7"/>
        <v>Iod</v>
      </c>
      <c r="X55" t="str">
        <f t="shared" si="15"/>
        <v>Caesium</v>
      </c>
      <c r="Y55" t="s">
        <v>810</v>
      </c>
      <c r="Z55" s="16" t="s">
        <v>125</v>
      </c>
      <c r="AA55" s="35"/>
      <c r="AB55" s="16"/>
      <c r="AC55" s="27" t="s">
        <v>257</v>
      </c>
      <c r="AD55" s="27" t="str">
        <f t="shared" si="21"/>
        <v>#REDIRECT [[Xenon]]</v>
      </c>
      <c r="AE55" s="7"/>
      <c r="AF55" t="str">
        <f>C37</f>
        <v>Krypton</v>
      </c>
      <c r="AG55" t="str">
        <f t="shared" si="18"/>
        <v>Radon</v>
      </c>
      <c r="AJ55" t="str">
        <f t="shared" si="2"/>
        <v xml:space="preserve"> wurde 1898 in England durch Ramsay, Travers entdeckt.</v>
      </c>
      <c r="AM55" t="str">
        <f t="shared" si="20"/>
        <v>054</v>
      </c>
      <c r="AN55" t="s">
        <v>1042</v>
      </c>
      <c r="AO55" s="27" t="e">
        <f>CONCATENATE("{{Element|Ordnungszahl=",A55,"|Symbol=",B55,"|Name=",C55,"|Atommasse=",#REF!,"|EN=",E55,"|BP=",F55,"|MP=",G55,"|Dichte=",H55,"|Ionenradius=",L55,"|Ivolt=",N55,"|Aradius=",M55)</f>
        <v>#REF!</v>
      </c>
      <c r="AP55" s="27" t="str">
        <f t="shared" si="4"/>
        <v>|Enthalpie=0|IVolt2=2046,45|Wert=-|IVolt3=3099,42|Farbe=farblos|Flamme=|Elektronenkonfiguration=[Kr] 5s2 4d10 5p6|EK-Wiki=[Kr] 5s&lt;sup&gt;2&lt;/sup&gt; 4d&lt;sup&gt;10&lt;/sup&gt; 5p&lt;sup&gt;6&lt;/sup&gt;|pre=Iod|next=Caesium|Metall=Nichtmetall|E-Name=Xenon|L-Name=</v>
      </c>
      <c r="AQ55" s="27" t="str">
        <f t="shared" si="5"/>
        <v>|Verwendung=|Wortherkunft=Xenon (griechisch xenos = fremd) wurde erstmalig aus Rohkrypton abgetrennt.|L-Abk. bzw. redirect=#REDIRECT [[Xenon]]|radioaktiv=|hoch=Krypton|runter=Radon|Bild-Element=|Bild-Verwendung=|www= wurde 1898 in England durch Ramsay, Travers entdeckt.|E-Gruppe=|Sonstiges-kurz=|OZ3=054|WL=nichda|Text= }}
[[Kategorie:Chemie]][[Kategorie:Chemikalien]]</v>
      </c>
      <c r="AR55" s="31" t="e">
        <f t="shared" si="19"/>
        <v>#REF!</v>
      </c>
      <c r="AS55" t="str">
        <f t="shared" si="16"/>
        <v xml:space="preserve"> wurde 1898 in England durch Ramsay, Travers entdeckt. http://www.webelements.com/webelements/elements/media/element-pics/Xe.jpg</v>
      </c>
    </row>
    <row r="56" spans="1:45" ht="18" customHeight="1">
      <c r="A56">
        <v>55</v>
      </c>
      <c r="B56" t="s">
        <v>126</v>
      </c>
      <c r="C56" t="s">
        <v>598</v>
      </c>
      <c r="D56">
        <v>132.91</v>
      </c>
      <c r="E56">
        <v>0.7</v>
      </c>
      <c r="F56" s="36" t="s">
        <v>518</v>
      </c>
      <c r="G56" s="54" t="s">
        <v>1143</v>
      </c>
      <c r="H56" s="42" t="s">
        <v>1235</v>
      </c>
      <c r="I56">
        <v>1860</v>
      </c>
      <c r="J56" t="s">
        <v>226</v>
      </c>
      <c r="K56" t="s">
        <v>926</v>
      </c>
      <c r="L56">
        <v>165</v>
      </c>
      <c r="M56" s="56" t="s">
        <v>1281</v>
      </c>
      <c r="N56" s="30">
        <v>375.71</v>
      </c>
      <c r="O56" t="s">
        <v>127</v>
      </c>
      <c r="P56" s="30">
        <v>2234.37</v>
      </c>
      <c r="Q56">
        <v>1</v>
      </c>
      <c r="R56" s="30" t="s">
        <v>874</v>
      </c>
      <c r="S56" t="s">
        <v>1035</v>
      </c>
      <c r="T56" t="s">
        <v>128</v>
      </c>
      <c r="U56" t="s">
        <v>638</v>
      </c>
      <c r="V56" t="s">
        <v>708</v>
      </c>
      <c r="W56" t="str">
        <f t="shared" si="7"/>
        <v>Xenon</v>
      </c>
      <c r="X56" t="str">
        <f t="shared" si="15"/>
        <v>Barium</v>
      </c>
      <c r="Y56" t="s">
        <v>809</v>
      </c>
      <c r="Z56" s="16" t="s">
        <v>598</v>
      </c>
      <c r="AA56" s="35"/>
      <c r="AB56" s="16"/>
      <c r="AC56" s="27" t="s">
        <v>258</v>
      </c>
      <c r="AD56" s="27" t="str">
        <f t="shared" si="21"/>
        <v>#REDIRECT [[Caesium]]</v>
      </c>
      <c r="AE56" s="7"/>
      <c r="AF56" t="s">
        <v>70</v>
      </c>
      <c r="AG56" t="str">
        <f t="shared" si="18"/>
        <v>Francium</v>
      </c>
      <c r="AJ56" t="str">
        <f t="shared" si="2"/>
        <v xml:space="preserve"> wurde 1860 in Deutschland durch Bunsen, Kirchhoff entdeckt.</v>
      </c>
      <c r="AM56" t="str">
        <f t="shared" si="20"/>
        <v>055</v>
      </c>
      <c r="AN56" t="s">
        <v>1042</v>
      </c>
      <c r="AO56" s="27" t="e">
        <f>CONCATENATE("{{Element|Ordnungszahl=",A56,"|Symbol=",B56,"|Name=",C56,"|Atommasse=",#REF!,"|EN=",E56,"|BP=",F56,"|MP=",G56,"|Dichte=",H56,"|Ionenradius=",L56,"|Ivolt=",N56,"|Aradius=",M56)</f>
        <v>#REF!</v>
      </c>
      <c r="AP56" s="27" t="str">
        <f t="shared" si="4"/>
        <v>|Enthalpie=76.1|IVolt2=2234,37|Wert=1|IVolt3=-|Farbe=silbrig-weiß|Flamme=blau|Elektronenkonfiguration=[Xe] 6s1|EK-Wiki=[Xe] 6s&lt;sup&gt;1&lt;/sup&gt;|pre=Xenon|next=Barium|Metall=Metall|E-Name=Caesium|L-Name=</v>
      </c>
      <c r="AQ56" s="27" t="str">
        <f t="shared" si="5"/>
        <v>|Verwendung=|Wortherkunft=Der Name ''Cäsium'' ist vom lateinischen ''caesius'' abgeleitet, was ''himmelblau'' bedeutet. Der Name nimmt Bezug auf die typischen Spektrallinien des Cäsiums, welche im blauen Bereich liegen,|L-Abk. bzw. redirect=#REDIRECT [[Caesium]]|radioaktiv=|hoch=Rubidium|runter=Francium|Bild-Element=|Bild-Verwendung=|www= wurde 1860 in Deutschland durch Bunsen, Kirchhoff entdeckt.|E-Gruppe=|Sonstiges-kurz=|OZ3=055|WL=nichda|Text= }}
[[Kategorie:Chemie]][[Kategorie:Chemikalien]]</v>
      </c>
      <c r="AR56" s="31" t="e">
        <f t="shared" si="19"/>
        <v>#REF!</v>
      </c>
      <c r="AS56" t="str">
        <f t="shared" si="16"/>
        <v xml:space="preserve"> wurde 1860 in Deutschland durch Bunsen, Kirchhoff entdeckt. http://www.webelements.com/webelements/elements/media/element-pics/Cs.jpg</v>
      </c>
    </row>
    <row r="57" spans="1:45" ht="18" customHeight="1">
      <c r="A57">
        <v>56</v>
      </c>
      <c r="B57" t="s">
        <v>129</v>
      </c>
      <c r="C57" t="s">
        <v>130</v>
      </c>
      <c r="D57">
        <v>137.33000000000001</v>
      </c>
      <c r="E57">
        <v>0.9</v>
      </c>
      <c r="F57" s="36" t="s">
        <v>1192</v>
      </c>
      <c r="G57" s="54" t="s">
        <v>1144</v>
      </c>
      <c r="H57" t="s">
        <v>1236</v>
      </c>
      <c r="I57">
        <v>1808</v>
      </c>
      <c r="J57" t="s">
        <v>200</v>
      </c>
      <c r="K57" t="s">
        <v>873</v>
      </c>
      <c r="L57">
        <v>143</v>
      </c>
      <c r="M57" s="56" t="s">
        <v>1282</v>
      </c>
      <c r="N57" s="30">
        <v>502.86</v>
      </c>
      <c r="O57">
        <v>180</v>
      </c>
      <c r="P57" s="30">
        <v>965.24</v>
      </c>
      <c r="Q57">
        <v>2</v>
      </c>
      <c r="R57" s="30" t="s">
        <v>874</v>
      </c>
      <c r="S57" t="s">
        <v>1033</v>
      </c>
      <c r="T57" t="s">
        <v>131</v>
      </c>
      <c r="U57" t="s">
        <v>639</v>
      </c>
      <c r="V57" t="s">
        <v>716</v>
      </c>
      <c r="W57" t="str">
        <f t="shared" si="7"/>
        <v>Caesium</v>
      </c>
      <c r="X57" t="str">
        <f t="shared" si="15"/>
        <v>Lanthan</v>
      </c>
      <c r="Y57" t="s">
        <v>809</v>
      </c>
      <c r="Z57" s="16" t="s">
        <v>130</v>
      </c>
      <c r="AA57" s="35"/>
      <c r="AB57" s="16"/>
      <c r="AC57" s="27" t="s">
        <v>259</v>
      </c>
      <c r="AD57" s="27" t="str">
        <f t="shared" si="21"/>
        <v>#REDIRECT [[Barium]]</v>
      </c>
      <c r="AE57" s="7"/>
      <c r="AF57" t="s">
        <v>73</v>
      </c>
      <c r="AG57" t="str">
        <f t="shared" si="18"/>
        <v>Radium</v>
      </c>
      <c r="AJ57" t="str">
        <f t="shared" si="2"/>
        <v xml:space="preserve"> wurde 1808 in England durch Davy entdeckt.</v>
      </c>
      <c r="AM57" t="str">
        <f t="shared" si="20"/>
        <v>056</v>
      </c>
      <c r="AN57" t="s">
        <v>1041</v>
      </c>
      <c r="AO57" s="27" t="e">
        <f>CONCATENATE("{{Element|Ordnungszahl=",A57,"|Symbol=",B57,"|Name=",C57,"|Atommasse=",#REF!,"|EN=",E57,"|BP=",F57,"|MP=",G57,"|Dichte=",H57,"|Ionenradius=",L57,"|Ivolt=",N57,"|Aradius=",M57)</f>
        <v>#REF!</v>
      </c>
      <c r="AP57" s="27" t="str">
        <f t="shared" si="4"/>
        <v>|Enthalpie=180|IVolt2=965,24|Wert=2|IVolt3=-|Farbe=silbrig|Flamme=gelbgrün|Elektronenkonfiguration=[Xe] 6s2|EK-Wiki=[Xe] 6s&lt;sup&gt;2&lt;/sup&gt;|pre=Caesium|next=Lanthan|Metall=Metall|E-Name=Barium|L-Name=</v>
      </c>
      <c r="AQ57" s="27" t="str">
        <f t="shared" si="5"/>
        <v>|Verwendung=|Wortherkunft=Barium nach dem vorher schon bekannten Baryt (von griech. „schwer“, wegen seiner großen Dichte).|L-Abk. bzw. redirect=#REDIRECT [[Barium]]|radioaktiv=|hoch=Strontium|runter=Radium|Bild-Element=|Bild-Verwendung=|www= wurde 1808 in England durch Davy entdeckt.|E-Gruppe=|Sonstiges-kurz=|OZ3=056|WL=Sammlung|Text= }}
[[Kategorie:Chemie]][[Kategorie:Chemikalien]]</v>
      </c>
      <c r="AR57" s="31" t="e">
        <f t="shared" si="19"/>
        <v>#REF!</v>
      </c>
      <c r="AS57" t="str">
        <f t="shared" si="16"/>
        <v xml:space="preserve"> wurde 1808 in England durch Davy entdeckt. http://www.webelements.com/webelements/elements/media/element-pics/Ba.jpg</v>
      </c>
    </row>
    <row r="58" spans="1:45" ht="18" customHeight="1">
      <c r="A58">
        <v>57</v>
      </c>
      <c r="B58" t="s">
        <v>307</v>
      </c>
      <c r="C58" t="s">
        <v>308</v>
      </c>
      <c r="D58">
        <v>138.91</v>
      </c>
      <c r="E58">
        <v>1.1000000000000001</v>
      </c>
      <c r="F58" s="36" t="s">
        <v>1086</v>
      </c>
      <c r="G58" s="54" t="s">
        <v>519</v>
      </c>
      <c r="H58" t="s">
        <v>1237</v>
      </c>
      <c r="I58">
        <v>1839</v>
      </c>
      <c r="J58" t="s">
        <v>227</v>
      </c>
      <c r="K58" t="s">
        <v>882</v>
      </c>
      <c r="L58">
        <v>122</v>
      </c>
      <c r="M58" s="56" t="s">
        <v>1283</v>
      </c>
      <c r="N58" s="30">
        <v>538.1</v>
      </c>
      <c r="O58">
        <v>431</v>
      </c>
      <c r="P58" s="30">
        <v>1067.1400000000001</v>
      </c>
      <c r="Q58">
        <v>3</v>
      </c>
      <c r="R58" s="30">
        <v>1850.34</v>
      </c>
      <c r="S58" t="s">
        <v>1035</v>
      </c>
      <c r="U58" t="s">
        <v>670</v>
      </c>
      <c r="V58" t="s">
        <v>733</v>
      </c>
      <c r="W58" t="str">
        <f t="shared" si="7"/>
        <v>Barium</v>
      </c>
      <c r="X58" t="str">
        <f t="shared" si="15"/>
        <v>Cer</v>
      </c>
      <c r="Y58" t="s">
        <v>809</v>
      </c>
      <c r="Z58" s="16" t="s">
        <v>835</v>
      </c>
      <c r="AA58" s="35"/>
      <c r="AB58" s="16"/>
      <c r="AC58" s="27" t="s">
        <v>260</v>
      </c>
      <c r="AD58" s="27" t="str">
        <f t="shared" si="21"/>
        <v>#REDIRECT [[Lanthan]]</v>
      </c>
      <c r="AE58" s="7"/>
      <c r="AF58" t="str">
        <f>C40</f>
        <v>Yttrium</v>
      </c>
      <c r="AG58" t="str">
        <f t="shared" si="18"/>
        <v>Actinium</v>
      </c>
      <c r="AJ58" t="str">
        <f t="shared" si="2"/>
        <v xml:space="preserve"> wurde 1839 in Schweden durch Mosander entdeckt.</v>
      </c>
      <c r="AM58" t="str">
        <f t="shared" si="20"/>
        <v>057</v>
      </c>
      <c r="AN58" t="s">
        <v>1042</v>
      </c>
      <c r="AO58" s="27" t="e">
        <f>CONCATENATE("{{Element|Ordnungszahl=",A58,"|Symbol=",B58,"|Name=",C58,"|Atommasse=",#REF!,"|EN=",E58,"|BP=",F58,"|MP=",G58,"|Dichte=",H58,"|Ionenradius=",L58,"|Ivolt=",N58,"|Aradius=",M58)</f>
        <v>#REF!</v>
      </c>
      <c r="AP58" s="27" t="str">
        <f t="shared" si="4"/>
        <v>|Enthalpie=431|IVolt2=1067,14|Wert=3|IVolt3=1850,34|Farbe=silbrig-weiß|Flamme=|Elektronenkonfiguration=[Xe] 6s2 5d1|EK-Wiki=[Xe] 6s&lt;sup&gt;2&lt;/sup&gt; 5d&lt;sup&gt;1&lt;/sup&gt;|pre=Barium|next=Cer|Metall=Metall|E-Name=Lanthanum|L-Name=</v>
      </c>
      <c r="AQ58" s="27" t="str">
        <f t="shared" si="5"/>
        <v>|Verwendung=|Wortherkunft=Lanthan (griechisch ''lanthanein'' = versteckt)|L-Abk. bzw. redirect=#REDIRECT [[Lanthan]]|radioaktiv=|hoch=Yttrium|runter=Actinium|Bild-Element=|Bild-Verwendung=|www= wurde 1839 in Schweden durch Mosander entdeckt.|E-Gruppe=|Sonstiges-kurz=|OZ3=057|WL=nichda|Text= }}
[[Kategorie:Chemie]][[Kategorie:Chemikalien]]</v>
      </c>
      <c r="AR58" s="31" t="e">
        <f t="shared" si="19"/>
        <v>#REF!</v>
      </c>
      <c r="AS58" t="str">
        <f t="shared" si="16"/>
        <v xml:space="preserve"> wurde 1839 in Schweden durch Mosander entdeckt. http://www.webelements.com/webelements/elements/media/element-pics/La.jpg</v>
      </c>
    </row>
    <row r="59" spans="1:45" ht="18" customHeight="1">
      <c r="A59">
        <v>58</v>
      </c>
      <c r="B59" t="s">
        <v>309</v>
      </c>
      <c r="C59" t="s">
        <v>310</v>
      </c>
      <c r="D59">
        <v>140.12</v>
      </c>
      <c r="E59">
        <v>1.1000000000000001</v>
      </c>
      <c r="F59" s="36" t="s">
        <v>1086</v>
      </c>
      <c r="G59" s="54" t="s">
        <v>520</v>
      </c>
      <c r="H59" s="42" t="s">
        <v>460</v>
      </c>
      <c r="I59">
        <v>1803</v>
      </c>
      <c r="J59" t="s">
        <v>180</v>
      </c>
      <c r="K59" t="s">
        <v>926</v>
      </c>
      <c r="L59">
        <v>94</v>
      </c>
      <c r="M59" s="56" t="s">
        <v>1284</v>
      </c>
      <c r="N59" s="30">
        <v>534.41</v>
      </c>
      <c r="O59">
        <v>423</v>
      </c>
      <c r="P59" s="30">
        <v>1046.8699999999999</v>
      </c>
      <c r="Q59">
        <v>7</v>
      </c>
      <c r="R59" s="30">
        <v>1948.82</v>
      </c>
      <c r="S59" t="s">
        <v>32</v>
      </c>
      <c r="U59" t="s">
        <v>652</v>
      </c>
      <c r="V59" t="s">
        <v>789</v>
      </c>
      <c r="W59" t="str">
        <f t="shared" si="7"/>
        <v>Lanthan</v>
      </c>
      <c r="X59" t="str">
        <f t="shared" si="15"/>
        <v>Praseodym</v>
      </c>
      <c r="Y59" t="s">
        <v>809</v>
      </c>
      <c r="Z59" s="16" t="s">
        <v>840</v>
      </c>
      <c r="AA59" s="35"/>
      <c r="AB59" s="16"/>
      <c r="AC59" s="27" t="s">
        <v>261</v>
      </c>
      <c r="AD59" s="27" t="str">
        <f t="shared" si="21"/>
        <v>#REDIRECT [[Cer]]</v>
      </c>
      <c r="AE59" s="7"/>
      <c r="AF59" t="str">
        <f>C59</f>
        <v>Cer</v>
      </c>
      <c r="AG59" t="str">
        <f t="shared" si="18"/>
        <v>Thorium</v>
      </c>
      <c r="AJ59" t="str">
        <f t="shared" si="2"/>
        <v xml:space="preserve"> wurde 1803 in Deutschland durch Klaproth entdeckt.</v>
      </c>
      <c r="AM59" t="str">
        <f t="shared" si="20"/>
        <v>058</v>
      </c>
      <c r="AN59" t="s">
        <v>1042</v>
      </c>
      <c r="AO59" s="27" t="e">
        <f>CONCATENATE("{{Element|Ordnungszahl=",A59,"|Symbol=",B59,"|Name=",C59,"|Atommasse=",#REF!,"|EN=",E59,"|BP=",F59,"|MP=",G59,"|Dichte=",H59,"|Ionenradius=",L59,"|Ivolt=",N59,"|Aradius=",M59)</f>
        <v>#REF!</v>
      </c>
      <c r="AP59" s="27" t="str">
        <f t="shared" si="4"/>
        <v>|Enthalpie=423|IVolt2=1046,87|Wert=7|IVolt3=1948,82|Farbe=grau|Flamme=|Elektronenkonfiguration=[Xe] 6s2 4f2|EK-Wiki=[Xe] 6s&lt;sup&gt;2&lt;/sup&gt; 4f&lt;sup&gt;2&lt;/sup&gt;|pre=Lanthan|next=Praseodym|Metall=Metall|E-Name=Cerium|L-Name=</v>
      </c>
      <c r="AQ59" s="27" t="str">
        <f t="shared" si="5"/>
        <v>|Verwendung=|Wortherkunft=Cer wurde nach dem Planetoiden Ceres benannt.|L-Abk. bzw. redirect=#REDIRECT [[Cer]]|radioaktiv=|hoch=Cer|runter=Thorium|Bild-Element=|Bild-Verwendung=|www= wurde 1803 in Deutschland durch Klaproth entdeckt.|E-Gruppe=|Sonstiges-kurz=|OZ3=058|WL=nichda|Text= }}
[[Kategorie:Chemie]][[Kategorie:Chemikalien]]</v>
      </c>
      <c r="AR59" s="31" t="e">
        <f t="shared" si="19"/>
        <v>#REF!</v>
      </c>
      <c r="AS59" t="str">
        <f t="shared" si="16"/>
        <v xml:space="preserve"> wurde 1803 in Deutschland durch Klaproth entdeckt. http://www.webelements.com/webelements/elements/media/element-pics/Ce.jpg</v>
      </c>
    </row>
    <row r="60" spans="1:45" ht="18" customHeight="1">
      <c r="A60">
        <v>59</v>
      </c>
      <c r="B60" t="s">
        <v>311</v>
      </c>
      <c r="C60" t="s">
        <v>312</v>
      </c>
      <c r="D60">
        <v>140.91</v>
      </c>
      <c r="E60">
        <v>1.1000000000000001</v>
      </c>
      <c r="F60" s="36" t="s">
        <v>1087</v>
      </c>
      <c r="G60" s="54" t="s">
        <v>521</v>
      </c>
      <c r="H60" s="42" t="s">
        <v>461</v>
      </c>
      <c r="I60">
        <v>1885</v>
      </c>
      <c r="J60" t="s">
        <v>228</v>
      </c>
      <c r="K60" t="s">
        <v>313</v>
      </c>
      <c r="L60">
        <v>92</v>
      </c>
      <c r="M60" s="56" t="s">
        <v>1284</v>
      </c>
      <c r="N60" s="30">
        <v>527.20000000000005</v>
      </c>
      <c r="O60" t="s">
        <v>314</v>
      </c>
      <c r="P60" s="30">
        <v>1017.93</v>
      </c>
      <c r="Q60">
        <v>7</v>
      </c>
      <c r="R60" s="30">
        <v>2086.41</v>
      </c>
      <c r="S60" t="s">
        <v>1030</v>
      </c>
      <c r="U60" t="s">
        <v>653</v>
      </c>
      <c r="V60" t="s">
        <v>717</v>
      </c>
      <c r="W60" t="str">
        <f t="shared" si="7"/>
        <v>Cer</v>
      </c>
      <c r="X60" t="str">
        <f t="shared" si="15"/>
        <v>Neodym</v>
      </c>
      <c r="Y60" t="s">
        <v>809</v>
      </c>
      <c r="Z60" s="16" t="s">
        <v>826</v>
      </c>
      <c r="AA60" s="35"/>
      <c r="AB60" s="16"/>
      <c r="AC60" s="27" t="s">
        <v>301</v>
      </c>
      <c r="AD60" s="27" t="str">
        <f t="shared" si="21"/>
        <v>#REDIRECT [[Praseodym]]</v>
      </c>
      <c r="AE60" s="7"/>
      <c r="AF60" t="str">
        <f t="shared" ref="AF60:AF72" si="22">C60</f>
        <v>Praseodym</v>
      </c>
      <c r="AG60" t="str">
        <f t="shared" si="18"/>
        <v>Protactinium</v>
      </c>
      <c r="AJ60" t="str">
        <f t="shared" si="2"/>
        <v xml:space="preserve"> wurde 1885 in Österreich durch von Welsbach entdeckt.</v>
      </c>
      <c r="AM60" t="str">
        <f t="shared" si="20"/>
        <v>059</v>
      </c>
      <c r="AN60" t="s">
        <v>1042</v>
      </c>
      <c r="AO60" s="27" t="e">
        <f>CONCATENATE("{{Element|Ordnungszahl=",A60,"|Symbol=",B60,"|Name=",C60,"|Atommasse=",#REF!,"|EN=",E60,"|BP=",F60,"|MP=",G60,"|Dichte=",H60,"|Ionenradius=",L60,"|Ivolt=",N60,"|Aradius=",M60)</f>
        <v>#REF!</v>
      </c>
      <c r="AP60" s="27" t="str">
        <f t="shared" si="4"/>
        <v>|Enthalpie=355.6|IVolt2=1017,93|Wert=7|IVolt3=2086,41|Farbe=silbrig weiß|Flamme=|Elektronenkonfiguration=[Xe] 6s2 4f3|EK-Wiki=[Xe] 6s&lt;sup&gt;2&lt;/sup&gt; 4f3|pre=Cer|next=Neodym|Metall=Metall|E-Name=Praseodymium|L-Name=</v>
      </c>
      <c r="AQ60" s="27" t="str">
        <f t="shared" si="5"/>
        <v>|Verwendung=|Wortherkunft=Das griechische Wort prásinos bedeutet lauchgrün, didymos doppelt oder Zwilling. Im Jahr 1879 isolierte Paul Lecoq de Boisbaudran Samarium aus Didym, das er aus dem Mineral Samarskit gewann. 1885 gelang es, Didym in Praseodym und Neodym zu trennen, die beide Salze mit verschiedenen Farben bilden.|L-Abk. bzw. redirect=#REDIRECT [[Praseodym]]|radioaktiv=|hoch=Praseodym|runter=Protactinium|Bild-Element=|Bild-Verwendung=|www= wurde 1885 in Österreich durch von Welsbach entdeckt.|E-Gruppe=|Sonstiges-kurz=|OZ3=059|WL=nichda|Text= }}
[[Kategorie:Chemie]][[Kategorie:Chemikalien]]</v>
      </c>
      <c r="AR60" s="31" t="e">
        <f t="shared" si="19"/>
        <v>#REF!</v>
      </c>
      <c r="AS60" t="str">
        <f t="shared" si="16"/>
        <v xml:space="preserve"> wurde 1885 in Österreich durch von Welsbach entdeckt. http://www.webelements.com/webelements/elements/media/element-pics/Pr.jpg</v>
      </c>
    </row>
    <row r="61" spans="1:45" ht="18" customHeight="1">
      <c r="A61">
        <v>60</v>
      </c>
      <c r="B61" t="s">
        <v>315</v>
      </c>
      <c r="C61" t="s">
        <v>316</v>
      </c>
      <c r="D61">
        <v>144.24</v>
      </c>
      <c r="E61">
        <v>1.2</v>
      </c>
      <c r="F61" s="36" t="s">
        <v>1088</v>
      </c>
      <c r="G61" s="54" t="s">
        <v>1145</v>
      </c>
      <c r="H61" s="42" t="s">
        <v>1226</v>
      </c>
      <c r="I61">
        <v>1885</v>
      </c>
      <c r="J61" t="s">
        <v>228</v>
      </c>
      <c r="K61" t="s">
        <v>313</v>
      </c>
      <c r="L61">
        <v>104</v>
      </c>
      <c r="M61" s="56" t="s">
        <v>1284</v>
      </c>
      <c r="N61" s="30">
        <v>533.09</v>
      </c>
      <c r="O61" t="s">
        <v>317</v>
      </c>
      <c r="P61" s="30">
        <v>1035.3</v>
      </c>
      <c r="Q61">
        <v>3</v>
      </c>
      <c r="R61" s="30">
        <v>2132.34</v>
      </c>
      <c r="S61" t="s">
        <v>1033</v>
      </c>
      <c r="U61" t="s">
        <v>654</v>
      </c>
      <c r="V61" t="s">
        <v>791</v>
      </c>
      <c r="W61" t="str">
        <f t="shared" si="7"/>
        <v>Praseodym</v>
      </c>
      <c r="X61" t="str">
        <f t="shared" si="15"/>
        <v>Promethium</v>
      </c>
      <c r="Y61" t="s">
        <v>809</v>
      </c>
      <c r="Z61" s="16" t="s">
        <v>849</v>
      </c>
      <c r="AA61" s="35"/>
      <c r="AB61" s="16"/>
      <c r="AC61" s="27" t="s">
        <v>302</v>
      </c>
      <c r="AD61" s="27" t="str">
        <f t="shared" si="21"/>
        <v>#REDIRECT [[Neodym]]</v>
      </c>
      <c r="AE61" s="7"/>
      <c r="AF61" t="str">
        <f t="shared" si="22"/>
        <v>Neodym</v>
      </c>
      <c r="AG61" t="str">
        <f t="shared" si="18"/>
        <v>Uran</v>
      </c>
      <c r="AJ61" t="str">
        <f t="shared" si="2"/>
        <v xml:space="preserve"> wurde 1885 in Österreich durch von Welsbach entdeckt.</v>
      </c>
      <c r="AM61" t="str">
        <f t="shared" si="20"/>
        <v>060</v>
      </c>
      <c r="AN61" t="s">
        <v>1042</v>
      </c>
      <c r="AO61" s="27" t="e">
        <f>CONCATENATE("{{Element|Ordnungszahl=",A61,"|Symbol=",B61,"|Name=",C61,"|Atommasse=",#REF!,"|EN=",E61,"|BP=",F61,"|MP=",G61,"|Dichte=",H61,"|Ionenradius=",L61,"|Ivolt=",N61,"|Aradius=",M61)</f>
        <v>#REF!</v>
      </c>
      <c r="AP61" s="27" t="str">
        <f t="shared" si="4"/>
        <v>|Enthalpie=327.6|IVolt2=1035,3|Wert=3|IVolt3=2132,34|Farbe=silbrig|Flamme=|Elektronenkonfiguration=[Xe] 6s2 4f4 |EK-Wiki=[Xe] 6s&lt;sup&gt;2&lt;/sup&gt; 4f&lt;sup&gt;4&lt;/sup&gt; |pre=Praseodym|next=Promethium|Metall=Metall|E-Name=Neodymium|L-Name=</v>
      </c>
      <c r="AQ61" s="27" t="str">
        <f t="shared" si="5"/>
        <v>|Verwendung=|Wortherkunft=Neodym wurde zusammen mit Praseodym aus dem Didym isoliert. Die Elementbezeichnung leitet sich von den griechischen Worten ''neos'' für neu und ''didymos'' für Zwilling ab.|L-Abk. bzw. redirect=#REDIRECT [[Neodym]]|radioaktiv=|hoch=Neodym|runter=Uran|Bild-Element=|Bild-Verwendung=|www= wurde 1885 in Österreich durch von Welsbach entdeckt.|E-Gruppe=|Sonstiges-kurz=|OZ3=060|WL=nichda|Text= }}
[[Kategorie:Chemie]][[Kategorie:Chemikalien]]</v>
      </c>
      <c r="AR61" s="31" t="e">
        <f t="shared" si="19"/>
        <v>#REF!</v>
      </c>
      <c r="AS61" t="str">
        <f t="shared" si="16"/>
        <v xml:space="preserve"> wurde 1885 in Österreich durch von Welsbach entdeckt. http://www.webelements.com/webelements/elements/media/element-pics/Nd.jpg</v>
      </c>
    </row>
    <row r="62" spans="1:45" ht="18" customHeight="1">
      <c r="A62">
        <v>61</v>
      </c>
      <c r="B62" t="s">
        <v>318</v>
      </c>
      <c r="C62" t="s">
        <v>319</v>
      </c>
      <c r="D62">
        <v>145</v>
      </c>
      <c r="E62">
        <v>1.1000000000000001</v>
      </c>
      <c r="F62" s="36" t="s">
        <v>1072</v>
      </c>
      <c r="G62" s="54" t="s">
        <v>1146</v>
      </c>
      <c r="H62" t="s">
        <v>1105</v>
      </c>
      <c r="I62">
        <v>1945</v>
      </c>
      <c r="J62" t="s">
        <v>172</v>
      </c>
      <c r="K62" t="s">
        <v>320</v>
      </c>
      <c r="L62">
        <v>106</v>
      </c>
      <c r="M62" s="56" t="s">
        <v>1284</v>
      </c>
      <c r="N62" s="30">
        <v>538.39</v>
      </c>
      <c r="O62">
        <v>0</v>
      </c>
      <c r="P62" s="30">
        <v>1051.7</v>
      </c>
      <c r="Q62">
        <v>3</v>
      </c>
      <c r="R62" s="30">
        <v>2151.64</v>
      </c>
      <c r="S62" t="s">
        <v>1037</v>
      </c>
      <c r="U62" t="s">
        <v>655</v>
      </c>
      <c r="V62" t="s">
        <v>793</v>
      </c>
      <c r="W62" t="str">
        <f t="shared" si="7"/>
        <v>Neodym</v>
      </c>
      <c r="X62" t="str">
        <f t="shared" si="15"/>
        <v>Samarium</v>
      </c>
      <c r="Y62" t="s">
        <v>809</v>
      </c>
      <c r="Z62" s="16" t="s">
        <v>319</v>
      </c>
      <c r="AA62" s="35"/>
      <c r="AB62" s="16"/>
      <c r="AC62" s="27" t="s">
        <v>303</v>
      </c>
      <c r="AD62" s="27" t="str">
        <f t="shared" si="21"/>
        <v>#REDIRECT [[Promethium]]</v>
      </c>
      <c r="AE62" s="7" t="s">
        <v>167</v>
      </c>
      <c r="AF62" t="str">
        <f t="shared" si="22"/>
        <v>Promethium</v>
      </c>
      <c r="AG62" t="str">
        <f t="shared" si="18"/>
        <v>Neptunium</v>
      </c>
      <c r="AJ62" t="str">
        <f t="shared" si="2"/>
        <v xml:space="preserve"> wurde 1945 in USA durch Marinsky, Coryell entdeckt.</v>
      </c>
      <c r="AM62" t="str">
        <f t="shared" si="20"/>
        <v>061</v>
      </c>
      <c r="AN62" t="s">
        <v>1042</v>
      </c>
      <c r="AO62" s="27" t="e">
        <f>CONCATENATE("{{Element|Ordnungszahl=",A62,"|Symbol=",B62,"|Name=",C62,"|Atommasse=",#REF!,"|EN=",E62,"|BP=",F62,"|MP=",G62,"|Dichte=",H62,"|Ionenradius=",L62,"|Ivolt=",N62,"|Aradius=",M62)</f>
        <v>#REF!</v>
      </c>
      <c r="AP62" s="27" t="str">
        <f t="shared" si="4"/>
        <v>|Enthalpie=0|IVolt2=1051,7|Wert=3|IVolt3=2151,64|Farbe=silbrigweiß|Flamme=|Elektronenkonfiguration=[Xe] 6s2 4f5|EK-Wiki=[Xe] 6s&lt;sup&gt;2&lt;/sup&gt; 4f&lt;sup&gt;5&lt;/sup&gt;|pre=Neodym|next=Samarium|Metall=Metall|E-Name=Promethium|L-Name=</v>
      </c>
      <c r="AQ62" s="27" t="str">
        <f t="shared" si="5"/>
        <v>|Verwendung=|Wortherkunft=Promethium wurde 1945 als Spaltprodukt des Urans entdeckt. Den Namen '''Promethium''' wählte man in Anlehnung an den griechischen Titanen Prometheus, der den Menschen das Feuer brachte und so den Zorn der Götter erweckte. Dies war als Mahnung an die Menschheit gedacht, die zu diesem Zeitpunkt mit dem nukleares Wettrüsten|nuklearen Wettrüsten begann.|L-Abk. bzw. redirect=#REDIRECT [[Promethium]]|radioaktiv=[[radioaktiv]]es&amp;nbsp;|hoch=Promethium|runter=Neptunium|Bild-Element=|Bild-Verwendung=|www= wurde 1945 in USA durch Marinsky, Coryell entdeckt.|E-Gruppe=|Sonstiges-kurz=|OZ3=061|WL=nichda|Text= }}
[[Kategorie:Chemie]][[Kategorie:Chemikalien]]</v>
      </c>
      <c r="AR62" s="31" t="e">
        <f t="shared" si="19"/>
        <v>#REF!</v>
      </c>
      <c r="AS62" t="str">
        <f t="shared" si="16"/>
        <v xml:space="preserve"> wurde 1945 in USA durch Marinsky, Coryell entdeckt. http://www.webelements.com/webelements/elements/media/element-pics/Pm.jpg</v>
      </c>
    </row>
    <row r="63" spans="1:45" ht="18" customHeight="1">
      <c r="A63">
        <v>62</v>
      </c>
      <c r="B63" t="s">
        <v>321</v>
      </c>
      <c r="C63" t="s">
        <v>322</v>
      </c>
      <c r="D63">
        <v>150.36000000000001</v>
      </c>
      <c r="E63">
        <v>1.2</v>
      </c>
      <c r="F63" s="36" t="s">
        <v>1069</v>
      </c>
      <c r="G63" s="54" t="s">
        <v>1147</v>
      </c>
      <c r="H63" s="42" t="s">
        <v>462</v>
      </c>
      <c r="I63">
        <v>1879</v>
      </c>
      <c r="J63" t="s">
        <v>210</v>
      </c>
      <c r="K63" t="s">
        <v>886</v>
      </c>
      <c r="L63">
        <v>100</v>
      </c>
      <c r="M63" s="56" t="s">
        <v>1284</v>
      </c>
      <c r="N63" s="30">
        <v>544.53</v>
      </c>
      <c r="O63" t="s">
        <v>323</v>
      </c>
      <c r="P63" s="30">
        <v>1068.0999999999999</v>
      </c>
      <c r="Q63">
        <v>5</v>
      </c>
      <c r="R63" s="30">
        <v>2257.77</v>
      </c>
      <c r="S63" t="s">
        <v>1033</v>
      </c>
      <c r="U63" t="s">
        <v>656</v>
      </c>
      <c r="V63" t="s">
        <v>794</v>
      </c>
      <c r="W63" t="str">
        <f t="shared" si="7"/>
        <v>Promethium</v>
      </c>
      <c r="X63" t="str">
        <f t="shared" si="15"/>
        <v>Europium</v>
      </c>
      <c r="Y63" t="s">
        <v>809</v>
      </c>
      <c r="Z63" s="16" t="s">
        <v>322</v>
      </c>
      <c r="AA63" s="35"/>
      <c r="AB63" s="16"/>
      <c r="AC63" s="27" t="s">
        <v>304</v>
      </c>
      <c r="AD63" s="27" t="str">
        <f t="shared" si="21"/>
        <v>#REDIRECT [[Samarium]]</v>
      </c>
      <c r="AE63" s="7"/>
      <c r="AF63" t="str">
        <f t="shared" si="22"/>
        <v>Samarium</v>
      </c>
      <c r="AG63" t="str">
        <f t="shared" si="18"/>
        <v>Plutonium</v>
      </c>
      <c r="AJ63" t="str">
        <f t="shared" si="2"/>
        <v xml:space="preserve"> wurde 1879 in Frankreich durch de Boisbaudran entdeckt.</v>
      </c>
      <c r="AM63" t="str">
        <f t="shared" si="20"/>
        <v>062</v>
      </c>
      <c r="AN63" t="s">
        <v>1042</v>
      </c>
      <c r="AO63" s="27" t="e">
        <f>CONCATENATE("{{Element|Ordnungszahl=",A63,"|Symbol=",B63,"|Name=",C63,"|Atommasse=",#REF!,"|EN=",E63,"|BP=",F63,"|MP=",G63,"|Dichte=",H63,"|Ionenradius=",L63,"|Ivolt=",N63,"|Aradius=",M63)</f>
        <v>#REF!</v>
      </c>
      <c r="AP63" s="27" t="str">
        <f t="shared" si="4"/>
        <v>|Enthalpie=206.7|IVolt2=1068,1|Wert=5|IVolt3=2257,77|Farbe=silbrig|Flamme=|Elektronenkonfiguration=[Xe] 6s2 4f6|EK-Wiki=[Xe] 6s&lt;sup&gt;2&lt;/sup&gt; 4f&lt;sup&gt;6&lt;/sup&gt;|pre=Promethium|next=Europium|Metall=Metall|E-Name=Samarium|L-Name=</v>
      </c>
      <c r="AQ63" s="27" t="str">
        <f t="shared" si="5"/>
        <v>|Verwendung=|Wortherkunft=Samarium nach dem Mineral Samarskit. Mineral- und Elementbezeichnung leiten sich ab von dem Russen Samarsky, der das Mineral entdeckte.|L-Abk. bzw. redirect=#REDIRECT [[Samarium]]|radioaktiv=|hoch=Samarium|runter=Plutonium|Bild-Element=|Bild-Verwendung=|www= wurde 1879 in Frankreich durch de Boisbaudran entdeckt.|E-Gruppe=|Sonstiges-kurz=|OZ3=062|WL=nichda|Text= }}
[[Kategorie:Chemie]][[Kategorie:Chemikalien]]</v>
      </c>
      <c r="AR63" s="31" t="e">
        <f t="shared" si="19"/>
        <v>#REF!</v>
      </c>
      <c r="AS63" t="str">
        <f t="shared" si="16"/>
        <v xml:space="preserve"> wurde 1879 in Frankreich durch de Boisbaudran entdeckt. http://www.webelements.com/webelements/elements/media/element-pics/Sm.jpg</v>
      </c>
    </row>
    <row r="64" spans="1:45" ht="18" customHeight="1">
      <c r="A64">
        <v>63</v>
      </c>
      <c r="B64" t="s">
        <v>324</v>
      </c>
      <c r="C64" t="s">
        <v>325</v>
      </c>
      <c r="D64">
        <v>151.96</v>
      </c>
      <c r="E64">
        <v>1.2</v>
      </c>
      <c r="F64" s="36" t="s">
        <v>1089</v>
      </c>
      <c r="G64" s="54" t="s">
        <v>522</v>
      </c>
      <c r="H64" s="42" t="s">
        <v>463</v>
      </c>
      <c r="I64">
        <v>1896</v>
      </c>
      <c r="J64" t="s">
        <v>229</v>
      </c>
      <c r="K64" t="s">
        <v>886</v>
      </c>
      <c r="L64">
        <v>98</v>
      </c>
      <c r="M64" s="56" t="s">
        <v>1284</v>
      </c>
      <c r="N64" s="30">
        <v>547.11</v>
      </c>
      <c r="O64" t="s">
        <v>326</v>
      </c>
      <c r="P64" s="30">
        <v>1084.5999999999999</v>
      </c>
      <c r="Q64">
        <v>5</v>
      </c>
      <c r="R64" s="30">
        <v>2404.4299999999998</v>
      </c>
      <c r="S64" t="s">
        <v>1033</v>
      </c>
      <c r="U64" t="s">
        <v>657</v>
      </c>
      <c r="V64" t="s">
        <v>796</v>
      </c>
      <c r="W64" t="str">
        <f t="shared" si="7"/>
        <v>Samarium</v>
      </c>
      <c r="X64" t="str">
        <f t="shared" si="15"/>
        <v>Gadolinium</v>
      </c>
      <c r="Y64" t="s">
        <v>809</v>
      </c>
      <c r="Z64" s="16" t="s">
        <v>325</v>
      </c>
      <c r="AA64" s="35"/>
      <c r="AB64" s="16"/>
      <c r="AC64" s="27" t="s">
        <v>305</v>
      </c>
      <c r="AD64" s="27" t="str">
        <f t="shared" si="21"/>
        <v>#REDIRECT [[Europium]]</v>
      </c>
      <c r="AE64" s="7"/>
      <c r="AF64" t="str">
        <f t="shared" si="22"/>
        <v>Europium</v>
      </c>
      <c r="AG64" t="str">
        <f t="shared" si="18"/>
        <v>Americium</v>
      </c>
      <c r="AJ64" t="str">
        <f t="shared" si="2"/>
        <v xml:space="preserve"> wurde 1896 in Frankreich durch Demarcay entdeckt.</v>
      </c>
      <c r="AM64" t="str">
        <f t="shared" si="20"/>
        <v>063</v>
      </c>
      <c r="AN64" t="s">
        <v>1042</v>
      </c>
      <c r="AO64" s="27" t="e">
        <f>CONCATENATE("{{Element|Ordnungszahl=",A64,"|Symbol=",B64,"|Name=",C64,"|Atommasse=",#REF!,"|EN=",E64,"|BP=",F64,"|MP=",G64,"|Dichte=",H64,"|Ionenradius=",L64,"|Ivolt=",N64,"|Aradius=",M64)</f>
        <v>#REF!</v>
      </c>
      <c r="AP64" s="27" t="str">
        <f t="shared" si="4"/>
        <v>|Enthalpie=175.3|IVolt2=1084,6|Wert=5|IVolt3=2404,43|Farbe=silbrig|Flamme=|Elektronenkonfiguration=[Xe] 6s2 4f7|EK-Wiki=[Xe] 6s&lt;sup&gt;2&lt;/sup&gt; 4f&lt;sup&gt;7&lt;/sup&gt;|pre=Samarium|next=Gadolinium|Metall=Metall|E-Name=Europium|L-Name=</v>
      </c>
      <c r="AQ64" s="27" t="str">
        <f t="shared" si="5"/>
        <v>|Verwendung=|Wortherkunft=Die Elementbezeichnung steht für den Kontinent Europa.|L-Abk. bzw. redirect=#REDIRECT [[Europium]]|radioaktiv=|hoch=Europium|runter=Americium|Bild-Element=|Bild-Verwendung=|www= wurde 1896 in Frankreich durch Demarcay entdeckt.|E-Gruppe=|Sonstiges-kurz=|OZ3=063|WL=nichda|Text= }}
[[Kategorie:Chemie]][[Kategorie:Chemikalien]]</v>
      </c>
      <c r="AR64" s="31" t="e">
        <f t="shared" si="19"/>
        <v>#REF!</v>
      </c>
      <c r="AS64" t="str">
        <f t="shared" si="16"/>
        <v xml:space="preserve"> wurde 1896 in Frankreich durch Demarcay entdeckt. http://www.webelements.com/webelements/elements/media/element-pics/Eu.jpg</v>
      </c>
    </row>
    <row r="65" spans="1:45" ht="18" customHeight="1">
      <c r="A65">
        <v>64</v>
      </c>
      <c r="B65" t="s">
        <v>327</v>
      </c>
      <c r="C65" t="s">
        <v>328</v>
      </c>
      <c r="D65">
        <v>157.25</v>
      </c>
      <c r="E65">
        <v>1.2</v>
      </c>
      <c r="F65" s="36" t="s">
        <v>1072</v>
      </c>
      <c r="G65" s="54" t="s">
        <v>1148</v>
      </c>
      <c r="H65" s="42" t="s">
        <v>464</v>
      </c>
      <c r="I65">
        <v>1880</v>
      </c>
      <c r="J65" t="s">
        <v>216</v>
      </c>
      <c r="K65" t="s">
        <v>329</v>
      </c>
      <c r="L65">
        <v>97</v>
      </c>
      <c r="M65" s="56" t="s">
        <v>1285</v>
      </c>
      <c r="N65" s="30">
        <v>593.4</v>
      </c>
      <c r="O65" t="s">
        <v>330</v>
      </c>
      <c r="P65" s="30">
        <v>1166.52</v>
      </c>
      <c r="Q65">
        <v>3</v>
      </c>
      <c r="R65" s="30">
        <v>1990.51</v>
      </c>
      <c r="S65" t="s">
        <v>1035</v>
      </c>
      <c r="U65" t="s">
        <v>671</v>
      </c>
      <c r="V65" t="s">
        <v>797</v>
      </c>
      <c r="W65" t="str">
        <f t="shared" si="7"/>
        <v>Europium</v>
      </c>
      <c r="X65" t="str">
        <f t="shared" si="15"/>
        <v>Terbium</v>
      </c>
      <c r="Y65" t="s">
        <v>809</v>
      </c>
      <c r="Z65" s="16" t="s">
        <v>328</v>
      </c>
      <c r="AA65" s="35"/>
      <c r="AB65" s="16"/>
      <c r="AC65" s="27" t="s">
        <v>306</v>
      </c>
      <c r="AD65" s="27" t="str">
        <f t="shared" si="21"/>
        <v>#REDIRECT [[Gadolinium]]</v>
      </c>
      <c r="AE65" s="7"/>
      <c r="AF65" t="str">
        <f t="shared" si="22"/>
        <v>Gadolinium</v>
      </c>
      <c r="AG65" t="str">
        <f t="shared" si="18"/>
        <v>Curium</v>
      </c>
      <c r="AJ65" t="str">
        <f t="shared" si="2"/>
        <v xml:space="preserve"> wurde 1880 in Schweiz durch Marignac entdeckt.</v>
      </c>
      <c r="AM65" t="str">
        <f t="shared" si="20"/>
        <v>064</v>
      </c>
      <c r="AN65" t="s">
        <v>1042</v>
      </c>
      <c r="AO65" s="27" t="e">
        <f>CONCATENATE("{{Element|Ordnungszahl=",A65,"|Symbol=",B65,"|Name=",C65,"|Atommasse=",#REF!,"|EN=",E65,"|BP=",F65,"|MP=",G65,"|Dichte=",H65,"|Ionenradius=",L65,"|Ivolt=",N65,"|Aradius=",M65)</f>
        <v>#REF!</v>
      </c>
      <c r="AP65" s="27" t="str">
        <f t="shared" si="4"/>
        <v>|Enthalpie=397.5|IVolt2=1166,52|Wert=3|IVolt3=1990,51|Farbe=silbrig-weiß|Flamme=|Elektronenkonfiguration=[Xe] 6s2 4f7 5d1|EK-Wiki=[Xe] 6s&lt;sup&gt;2&lt;/sup&gt; 4f&lt;sup&gt;7&lt;/sup&gt; 5d&lt;sup&gt;1&lt;/sup&gt;|pre=Europium|next=Terbium|Metall=Metall|E-Name=Gadolinium|L-Name=</v>
      </c>
      <c r="AQ65" s="27" t="str">
        <f t="shared" si="5"/>
        <v>|Verwendung=|Wortherkunft=Nach dem Entdecker des Minerals Gadolinit, dem finnischen Chemiker Johan Gadolin, Gadolinium.|L-Abk. bzw. redirect=#REDIRECT [[Gadolinium]]|radioaktiv=|hoch=Gadolinium|runter=Curium|Bild-Element=|Bild-Verwendung=|www= wurde 1880 in Schweiz durch Marignac entdeckt.|E-Gruppe=|Sonstiges-kurz=|OZ3=064|WL=nichda|Text= }}
[[Kategorie:Chemie]][[Kategorie:Chemikalien]]</v>
      </c>
      <c r="AR65" s="31" t="e">
        <f t="shared" si="19"/>
        <v>#REF!</v>
      </c>
      <c r="AS65" t="str">
        <f t="shared" si="16"/>
        <v xml:space="preserve"> wurde 1880 in Schweiz durch Marignac entdeckt. http://www.webelements.com/webelements/elements/media/element-pics/Gd.jpg</v>
      </c>
    </row>
    <row r="66" spans="1:45" ht="18" customHeight="1">
      <c r="A66">
        <v>65</v>
      </c>
      <c r="B66" t="s">
        <v>331</v>
      </c>
      <c r="C66" t="s">
        <v>332</v>
      </c>
      <c r="D66">
        <v>158.93</v>
      </c>
      <c r="E66">
        <v>1.2</v>
      </c>
      <c r="F66" s="36" t="s">
        <v>1193</v>
      </c>
      <c r="G66" s="54" t="s">
        <v>1149</v>
      </c>
      <c r="H66" s="42" t="s">
        <v>465</v>
      </c>
      <c r="I66">
        <v>1843</v>
      </c>
      <c r="J66" t="s">
        <v>227</v>
      </c>
      <c r="K66" t="s">
        <v>882</v>
      </c>
      <c r="L66">
        <v>81</v>
      </c>
      <c r="M66" s="56" t="s">
        <v>1286</v>
      </c>
      <c r="N66" s="30">
        <v>565.77</v>
      </c>
      <c r="O66" t="s">
        <v>333</v>
      </c>
      <c r="P66" s="30">
        <v>1111.52</v>
      </c>
      <c r="Q66">
        <v>7</v>
      </c>
      <c r="R66" s="30">
        <v>2114.0100000000002</v>
      </c>
      <c r="S66" t="s">
        <v>1033</v>
      </c>
      <c r="U66" t="s">
        <v>658</v>
      </c>
      <c r="V66" t="s">
        <v>800</v>
      </c>
      <c r="W66" t="str">
        <f t="shared" si="7"/>
        <v>Gadolinium</v>
      </c>
      <c r="X66" t="str">
        <f t="shared" ref="X66:X86" si="23">C67</f>
        <v>Dysprosium</v>
      </c>
      <c r="Y66" t="s">
        <v>809</v>
      </c>
      <c r="Z66" s="16" t="s">
        <v>332</v>
      </c>
      <c r="AA66" s="35"/>
      <c r="AB66" s="16"/>
      <c r="AC66" s="27" t="s">
        <v>1</v>
      </c>
      <c r="AD66" s="27" t="str">
        <f t="shared" si="21"/>
        <v>#REDIRECT [[Terbium]]</v>
      </c>
      <c r="AE66" s="7"/>
      <c r="AF66" t="str">
        <f t="shared" si="22"/>
        <v>Terbium</v>
      </c>
      <c r="AG66" t="str">
        <f t="shared" si="18"/>
        <v>Berkelium</v>
      </c>
      <c r="AJ66" t="str">
        <f t="shared" si="2"/>
        <v xml:space="preserve"> wurde 1843 in Schweden durch Mosander entdeckt.</v>
      </c>
      <c r="AM66" t="str">
        <f t="shared" si="20"/>
        <v>065</v>
      </c>
      <c r="AN66" t="s">
        <v>1042</v>
      </c>
      <c r="AO66" s="27" t="e">
        <f>CONCATENATE("{{Element|Ordnungszahl=",A66,"|Symbol=",B66,"|Name=",C66,"|Atommasse=",#REF!,"|EN=",E66,"|BP=",F66,"|MP=",G66,"|Dichte=",H66,"|Ionenradius=",L66,"|Ivolt=",N66,"|Aradius=",M66)</f>
        <v>#REF!</v>
      </c>
      <c r="AP66" s="27" t="str">
        <f t="shared" si="4"/>
        <v>|Enthalpie=388.7|IVolt2=1111,52|Wert=7|IVolt3=2114,01|Farbe=silbrig|Flamme=|Elektronenkonfiguration=[Xe] 6s2 4f9|EK-Wiki=[Xe] 6s&lt;sup&gt;2&lt;/sup&gt; 4f&lt;sup&gt;9&lt;/sup&gt;|pre=Gadolinium|next=Dysprosium|Metall=Metall|E-Name=Terbium|L-Name=</v>
      </c>
      <c r="AQ66" s="27" t="str">
        <f t="shared" si="5"/>
        <v>|Verwendung=|Wortherkunft=Die Entdeckung des Elementes Terbium ist sehr verworren und bis heute nicht geklärt. Allgemein sieht man Carl Gustav Mosander als Entdecker an, der Anfang der 1840er die von Johan Gadolin entdeckte ''Yttererde'' untersuchte. Die vermeintlich reine Terbium-Verbindung war aber eine Mischung mehrerer Lanthanide (Bunsen). Reines Terbium wurde erst mit Aufkommen der Ionenaustauschtechnik nach 1945 hergestellt. Aus dem Namen der schwedischen Grube Ytterby leitete Mosander die Elementbezeichnung ab.|L-Abk. bzw. redirect=#REDIRECT [[Terbium]]|radioaktiv=|hoch=Terbium|runter=Berkelium|Bild-Element=|Bild-Verwendung=|www= wurde 1843 in Schweden durch Mosander entdeckt.|E-Gruppe=|Sonstiges-kurz=|OZ3=065|WL=nichda|Text= }}
[[Kategorie:Chemie]][[Kategorie:Chemikalien]]</v>
      </c>
      <c r="AR66" s="31" t="e">
        <f t="shared" si="19"/>
        <v>#REF!</v>
      </c>
      <c r="AS66" t="str">
        <f t="shared" si="16"/>
        <v xml:space="preserve"> wurde 1843 in Schweden durch Mosander entdeckt. http://www.webelements.com/webelements/elements/media/element-pics/Tb.jpg</v>
      </c>
    </row>
    <row r="67" spans="1:45" ht="18" customHeight="1">
      <c r="A67">
        <v>66</v>
      </c>
      <c r="B67" t="s">
        <v>334</v>
      </c>
      <c r="C67" t="s">
        <v>335</v>
      </c>
      <c r="D67">
        <v>162.5</v>
      </c>
      <c r="E67">
        <v>1.2</v>
      </c>
      <c r="F67" s="36" t="s">
        <v>1080</v>
      </c>
      <c r="G67" s="54" t="s">
        <v>1150</v>
      </c>
      <c r="H67" s="42" t="s">
        <v>466</v>
      </c>
      <c r="I67">
        <v>1886</v>
      </c>
      <c r="J67" t="s">
        <v>210</v>
      </c>
      <c r="K67" t="s">
        <v>886</v>
      </c>
      <c r="L67">
        <v>91</v>
      </c>
      <c r="M67" s="56" t="s">
        <v>1286</v>
      </c>
      <c r="N67" s="30">
        <v>573.02</v>
      </c>
      <c r="O67" t="s">
        <v>336</v>
      </c>
      <c r="P67" s="30">
        <v>1125.99</v>
      </c>
      <c r="Q67">
        <v>3</v>
      </c>
      <c r="R67" s="30">
        <v>2199.88</v>
      </c>
      <c r="S67" t="s">
        <v>1038</v>
      </c>
      <c r="U67" t="s">
        <v>659</v>
      </c>
      <c r="V67" t="s">
        <v>767</v>
      </c>
      <c r="W67" t="str">
        <f t="shared" si="7"/>
        <v>Terbium</v>
      </c>
      <c r="X67" t="str">
        <f t="shared" si="23"/>
        <v>Holmium</v>
      </c>
      <c r="Y67" t="s">
        <v>809</v>
      </c>
      <c r="Z67" s="16" t="s">
        <v>335</v>
      </c>
      <c r="AA67" s="35"/>
      <c r="AB67" s="16"/>
      <c r="AC67" s="27" t="s">
        <v>1015</v>
      </c>
      <c r="AD67" s="27" t="str">
        <f t="shared" ref="AD67:AD79" si="24">CONCATENATE("#REDIRECT [[",C67,"]]")</f>
        <v>#REDIRECT [[Dysprosium]]</v>
      </c>
      <c r="AE67" s="7"/>
      <c r="AF67" t="str">
        <f t="shared" si="22"/>
        <v>Dysprosium</v>
      </c>
      <c r="AG67" t="str">
        <f t="shared" si="18"/>
        <v>Californium</v>
      </c>
      <c r="AJ67" t="str">
        <f t="shared" ref="AJ67:AJ86" si="25">CONCATENATE(" wurde ",I67," in ",K67," durch ",J67," entdeckt.")</f>
        <v xml:space="preserve"> wurde 1886 in Frankreich durch de Boisbaudran entdeckt.</v>
      </c>
      <c r="AM67" t="str">
        <f t="shared" si="20"/>
        <v>066</v>
      </c>
      <c r="AN67" t="s">
        <v>1042</v>
      </c>
      <c r="AO67" s="27" t="e">
        <f>CONCATENATE("{{Element|Ordnungszahl=",A67,"|Symbol=",B67,"|Name=",C67,"|Atommasse=",#REF!,"|EN=",E67,"|BP=",F67,"|MP=",G67,"|Dichte=",H67,"|Ionenradius=",L67,"|Ivolt=",N67,"|Aradius=",M67)</f>
        <v>#REF!</v>
      </c>
      <c r="AP67" s="27" t="str">
        <f t="shared" ref="AP67:AP86" si="26">CONCATENATE("|Enthalpie=",O67,"|IVolt2=",P67,"|Wert=",Q67,"|IVolt3=",R67,"|Farbe=",S67,"|Flamme=",T67,"|Elektronenkonfiguration=",U67,"|EK-Wiki=",V67,"|pre=",W67,"|next=",X67,"|Metall=",Y67,"|E-Name=",Z67,"|L-Name=",AA67)</f>
        <v>|Enthalpie=290.4|IVolt2=1125,99|Wert=3|IVolt3=2199,88|Farbe=silbriggrau|Flamme=|Elektronenkonfiguration=[Xe] 6s2 4f10|EK-Wiki=[Xe] 6s&lt;sup&gt;2&lt;/sup&gt; 4f&lt;sup&gt;10&lt;/sup&gt;|pre=Terbium|next=Holmium|Metall=Metall|E-Name=Dysprosium|L-Name=</v>
      </c>
      <c r="AQ67" s="27" t="str">
        <f t="shared" ref="AP67:AQ117" si="27">CONCATENATE("|Verwendung=",AB67,"|Wortherkunft=",AC67,"|L-Abk. bzw. redirect=",AD67,"|radioaktiv=",AE67,"|hoch=",AF67,"|runter=",AG67,"|Bild-Element=",AH67,"|Bild-Verwendung=",AI67,"|www=",AJ67,"|E-Gruppe=",AK67,"|Sonstiges-kurz=",AL67,"|OZ3=",AM67,"|WL=",AN67,"|Text= }}
[[Kategorie:Chemie]][[Kategorie:Chemikalien]]")</f>
        <v>|Verwendung=|Wortherkunft=Dysprosium (von griech. dysprósitos = unzugänglich)|L-Abk. bzw. redirect=#REDIRECT [[Dysprosium]]|radioaktiv=|hoch=Dysprosium|runter=Californium|Bild-Element=|Bild-Verwendung=|www= wurde 1886 in Frankreich durch de Boisbaudran entdeckt.|E-Gruppe=|Sonstiges-kurz=|OZ3=066|WL=nichda|Text= }}
[[Kategorie:Chemie]][[Kategorie:Chemikalien]]</v>
      </c>
      <c r="AR67" s="31" t="e">
        <f t="shared" si="19"/>
        <v>#REF!</v>
      </c>
      <c r="AS67" t="str">
        <f t="shared" ref="AS67:AS86" si="28">CONCATENATE(AJ67," http://www.webelements.com/webelements/elements/media/element-pics/",B67,".jpg")</f>
        <v xml:space="preserve"> wurde 1886 in Frankreich durch de Boisbaudran entdeckt. http://www.webelements.com/webelements/elements/media/element-pics/Dy.jpg</v>
      </c>
    </row>
    <row r="68" spans="1:45" ht="18" customHeight="1">
      <c r="A68">
        <v>67</v>
      </c>
      <c r="B68" t="s">
        <v>337</v>
      </c>
      <c r="C68" t="s">
        <v>338</v>
      </c>
      <c r="D68">
        <v>164.93</v>
      </c>
      <c r="E68">
        <v>1.2</v>
      </c>
      <c r="F68" s="36" t="s">
        <v>1080</v>
      </c>
      <c r="G68" s="54" t="s">
        <v>1151</v>
      </c>
      <c r="H68" t="s">
        <v>467</v>
      </c>
      <c r="I68">
        <v>1879</v>
      </c>
      <c r="J68" t="s">
        <v>230</v>
      </c>
      <c r="K68" t="s">
        <v>329</v>
      </c>
      <c r="L68">
        <v>89</v>
      </c>
      <c r="M68" s="56" t="s">
        <v>1286</v>
      </c>
      <c r="N68" s="30">
        <v>580.99</v>
      </c>
      <c r="O68" t="s">
        <v>339</v>
      </c>
      <c r="P68" s="30">
        <v>1138.54</v>
      </c>
      <c r="Q68">
        <v>3</v>
      </c>
      <c r="R68" s="30">
        <v>2203.7399999999998</v>
      </c>
      <c r="S68" t="s">
        <v>1033</v>
      </c>
      <c r="U68" t="s">
        <v>660</v>
      </c>
      <c r="V68" t="s">
        <v>769</v>
      </c>
      <c r="W68" t="str">
        <f t="shared" ref="W68:W86" si="29">C67</f>
        <v>Dysprosium</v>
      </c>
      <c r="X68" t="str">
        <f t="shared" si="23"/>
        <v>Erbium</v>
      </c>
      <c r="Y68" t="s">
        <v>809</v>
      </c>
      <c r="Z68" s="16" t="s">
        <v>338</v>
      </c>
      <c r="AA68" s="35"/>
      <c r="AB68" s="16"/>
      <c r="AC68" s="27" t="s">
        <v>1046</v>
      </c>
      <c r="AD68" s="27" t="str">
        <f t="shared" si="24"/>
        <v>#REDIRECT [[Holmium]]</v>
      </c>
      <c r="AE68" s="7"/>
      <c r="AF68" t="str">
        <f t="shared" si="22"/>
        <v>Holmium</v>
      </c>
      <c r="AG68" t="str">
        <f t="shared" si="18"/>
        <v>Einsteinium</v>
      </c>
      <c r="AJ68" t="str">
        <f t="shared" si="25"/>
        <v xml:space="preserve"> wurde 1879 in Schweiz durch Cleve entdeckt.</v>
      </c>
      <c r="AM68" t="str">
        <f t="shared" si="20"/>
        <v>067</v>
      </c>
      <c r="AN68" t="s">
        <v>1042</v>
      </c>
      <c r="AO68" s="27" t="e">
        <f>CONCATENATE("{{Element|Ordnungszahl=",A68,"|Symbol=",B68,"|Name=",C68,"|Atommasse=",#REF!,"|EN=",E68,"|BP=",F68,"|MP=",G68,"|Dichte=",H68,"|Ionenradius=",L68,"|Ivolt=",N68,"|Aradius=",M68)</f>
        <v>#REF!</v>
      </c>
      <c r="AP68" s="27" t="str">
        <f t="shared" si="26"/>
        <v>|Enthalpie=300.8|IVolt2=1138,54|Wert=3|IVolt3=2203,74|Farbe=silbrig|Flamme=|Elektronenkonfiguration=[Xe] 6s2 4f11|EK-Wiki=[Xe] 6s&lt;sup&gt;2&lt;/sup&gt; 4f&lt;sup&gt;1&lt;/sup&gt;1|pre=Dysprosium|next=Erbium|Metall=Metall|E-Name=Holmium|L-Name=</v>
      </c>
      <c r="AQ68" s="27" t="str">
        <f t="shared" si="27"/>
        <v>|Verwendung=|Wortherkunft=Erst 1911 gelang dem schwedischen Chemiker Holmberg die Gewinnung von reinem Holmiumoxid. Ob er die Bezeichnung Holmium, vorgeschlagen von Cleve für die schwedische Landeshauptstadt Stockholm, übernahm oder als Ableitung seines eigenen Namens betrachtete, ist nicht bekannt.|L-Abk. bzw. redirect=#REDIRECT [[Holmium]]|radioaktiv=|hoch=Holmium|runter=Einsteinium|Bild-Element=|Bild-Verwendung=|www= wurde 1879 in Schweiz durch Cleve entdeckt.|E-Gruppe=|Sonstiges-kurz=|OZ3=067|WL=nichda|Text= }}
[[Kategorie:Chemie]][[Kategorie:Chemikalien]]</v>
      </c>
      <c r="AR68" s="31" t="e">
        <f t="shared" si="19"/>
        <v>#REF!</v>
      </c>
      <c r="AS68" t="str">
        <f t="shared" si="28"/>
        <v xml:space="preserve"> wurde 1879 in Schweiz durch Cleve entdeckt. http://www.webelements.com/webelements/elements/media/element-pics/Ho.jpg</v>
      </c>
    </row>
    <row r="69" spans="1:45" ht="18" customHeight="1">
      <c r="A69">
        <v>68</v>
      </c>
      <c r="B69" t="s">
        <v>340</v>
      </c>
      <c r="C69" t="s">
        <v>341</v>
      </c>
      <c r="D69">
        <v>167.26</v>
      </c>
      <c r="E69">
        <v>1.2</v>
      </c>
      <c r="F69" s="36" t="s">
        <v>1079</v>
      </c>
      <c r="G69" s="54" t="s">
        <v>1152</v>
      </c>
      <c r="H69" s="42" t="s">
        <v>468</v>
      </c>
      <c r="I69">
        <v>1843</v>
      </c>
      <c r="J69" t="s">
        <v>227</v>
      </c>
      <c r="K69" t="s">
        <v>882</v>
      </c>
      <c r="L69">
        <v>89</v>
      </c>
      <c r="M69" s="56" t="s">
        <v>1286</v>
      </c>
      <c r="N69" s="30">
        <v>589.30999999999995</v>
      </c>
      <c r="O69" t="s">
        <v>342</v>
      </c>
      <c r="P69" s="30">
        <v>1151.08</v>
      </c>
      <c r="Q69">
        <v>5</v>
      </c>
      <c r="R69" s="30">
        <v>2194.09</v>
      </c>
      <c r="S69" t="s">
        <v>1029</v>
      </c>
      <c r="U69" t="s">
        <v>661</v>
      </c>
      <c r="V69" t="s">
        <v>770</v>
      </c>
      <c r="W69" t="str">
        <f t="shared" si="29"/>
        <v>Holmium</v>
      </c>
      <c r="X69" t="str">
        <f t="shared" si="23"/>
        <v>Thulium</v>
      </c>
      <c r="Y69" t="s">
        <v>809</v>
      </c>
      <c r="Z69" s="16" t="s">
        <v>341</v>
      </c>
      <c r="AA69" s="35"/>
      <c r="AB69" s="16"/>
      <c r="AC69" s="27" t="s">
        <v>1016</v>
      </c>
      <c r="AD69" s="27" t="str">
        <f t="shared" si="24"/>
        <v>#REDIRECT [[Erbium]]</v>
      </c>
      <c r="AE69" s="7"/>
      <c r="AF69" t="str">
        <f t="shared" si="22"/>
        <v>Erbium</v>
      </c>
      <c r="AG69" t="str">
        <f t="shared" si="18"/>
        <v>Fermium</v>
      </c>
      <c r="AJ69" t="str">
        <f t="shared" si="25"/>
        <v xml:space="preserve"> wurde 1843 in Schweden durch Mosander entdeckt.</v>
      </c>
      <c r="AM69" t="str">
        <f t="shared" si="20"/>
        <v>068</v>
      </c>
      <c r="AN69" t="s">
        <v>1042</v>
      </c>
      <c r="AO69" s="27" t="e">
        <f>CONCATENATE("{{Element|Ordnungszahl=",A69,"|Symbol=",B69,"|Name=",C69,"|Atommasse=",#REF!,"|EN=",E69,"|BP=",F69,"|MP=",G69,"|Dichte=",H69,"|Ionenradius=",L69,"|Ivolt=",N69,"|Aradius=",M69)</f>
        <v>#REF!</v>
      </c>
      <c r="AP69" s="27" t="str">
        <f t="shared" si="26"/>
        <v>|Enthalpie=317.1|IVolt2=1151,08|Wert=5|IVolt3=2194,09|Farbe=silbrig-grau|Flamme=|Elektronenkonfiguration=[Xe] 6s2 4f12|EK-Wiki=[Xe] 6s&lt;sup&gt;2&lt;/sup&gt; 4f&lt;sup&gt;1&lt;/sup&gt;2|pre=Holmium|next=Thulium|Metall=Metall|E-Name=Erbium|L-Name=</v>
      </c>
      <c r="AQ69" s="27" t="str">
        <f t="shared" si="27"/>
        <v>|Verwendung=|Wortherkunft=Der Name leitet sich von der Grube Ytterby bei Stockholm ab, wie auch der von Ytterbium, Terbium und Yttrium. Erbium (für Ytterby, einer schwedischen Stadt) wurde 1843 von Carl Gustav Mosander entdeckt.|L-Abk. bzw. redirect=#REDIRECT [[Erbium]]|radioaktiv=|hoch=Erbium|runter=Fermium|Bild-Element=|Bild-Verwendung=|www= wurde 1843 in Schweden durch Mosander entdeckt.|E-Gruppe=|Sonstiges-kurz=|OZ3=068|WL=nichda|Text= }}
[[Kategorie:Chemie]][[Kategorie:Chemikalien]]</v>
      </c>
      <c r="AR69" s="31" t="e">
        <f t="shared" si="19"/>
        <v>#REF!</v>
      </c>
      <c r="AS69" t="str">
        <f t="shared" si="28"/>
        <v xml:space="preserve"> wurde 1843 in Schweden durch Mosander entdeckt. http://www.webelements.com/webelements/elements/media/element-pics/Er.jpg</v>
      </c>
    </row>
    <row r="70" spans="1:45" ht="18" customHeight="1">
      <c r="A70">
        <v>69</v>
      </c>
      <c r="B70" t="s">
        <v>343</v>
      </c>
      <c r="C70" t="s">
        <v>344</v>
      </c>
      <c r="D70">
        <v>168.93</v>
      </c>
      <c r="E70">
        <v>1.2</v>
      </c>
      <c r="F70" s="36" t="s">
        <v>1194</v>
      </c>
      <c r="G70" s="54" t="s">
        <v>1153</v>
      </c>
      <c r="H70" s="42" t="s">
        <v>469</v>
      </c>
      <c r="I70">
        <v>1879</v>
      </c>
      <c r="J70" t="s">
        <v>230</v>
      </c>
      <c r="K70" t="s">
        <v>882</v>
      </c>
      <c r="L70">
        <v>94</v>
      </c>
      <c r="M70" s="56" t="s">
        <v>1286</v>
      </c>
      <c r="N70" s="30">
        <v>596.70000000000005</v>
      </c>
      <c r="O70" t="s">
        <v>345</v>
      </c>
      <c r="P70" s="30">
        <v>1162.6600000000001</v>
      </c>
      <c r="Q70">
        <v>5</v>
      </c>
      <c r="R70" s="30">
        <v>2284.79</v>
      </c>
      <c r="S70" t="s">
        <v>1033</v>
      </c>
      <c r="U70" t="s">
        <v>662</v>
      </c>
      <c r="V70" t="s">
        <v>771</v>
      </c>
      <c r="W70" t="str">
        <f t="shared" si="29"/>
        <v>Erbium</v>
      </c>
      <c r="X70" t="str">
        <f t="shared" si="23"/>
        <v>Ytterbium</v>
      </c>
      <c r="Y70" t="s">
        <v>809</v>
      </c>
      <c r="Z70" s="16" t="s">
        <v>344</v>
      </c>
      <c r="AA70" s="35"/>
      <c r="AB70" s="16"/>
      <c r="AC70" s="27" t="s">
        <v>3</v>
      </c>
      <c r="AD70" s="27" t="str">
        <f t="shared" si="24"/>
        <v>#REDIRECT [[Thulium]]</v>
      </c>
      <c r="AE70" s="7"/>
      <c r="AF70" t="str">
        <f t="shared" si="22"/>
        <v>Thulium</v>
      </c>
      <c r="AG70" t="str">
        <f t="shared" si="18"/>
        <v>Mendelevium</v>
      </c>
      <c r="AJ70" t="str">
        <f t="shared" si="25"/>
        <v xml:space="preserve"> wurde 1879 in Schweden durch Cleve entdeckt.</v>
      </c>
      <c r="AM70" t="str">
        <f t="shared" si="20"/>
        <v>069</v>
      </c>
      <c r="AN70" t="s">
        <v>1042</v>
      </c>
      <c r="AO70" s="27" t="e">
        <f>CONCATENATE("{{Element|Ordnungszahl=",A70,"|Symbol=",B70,"|Name=",C70,"|Atommasse=",#REF!,"|EN=",E70,"|BP=",F70,"|MP=",G70,"|Dichte=",H70,"|Ionenradius=",L70,"|Ivolt=",N70,"|Aradius=",M70)</f>
        <v>#REF!</v>
      </c>
      <c r="AP70" s="27" t="str">
        <f t="shared" si="26"/>
        <v>|Enthalpie=232.2|IVolt2=1162,66|Wert=5|IVolt3=2284,79|Farbe=silbrig|Flamme=|Elektronenkonfiguration=[Xe] 6s2 4f13|EK-Wiki=[Xe] 6s&lt;sup&gt;2&lt;/sup&gt; 4f&lt;sup&gt;1&lt;/sup&gt;3|pre=Erbium|next=Ytterbium|Metall=Metall|E-Name=Thulium|L-Name=</v>
      </c>
      <c r="AQ70" s="27" t="str">
        <f t="shared" si="27"/>
        <v>|Verwendung=|Wortherkunft=Thulium (nach ''Thule'', dem mythischen Namen für Skandinavien) wurde 1879 von dem schwedischen Chemiker Per Teodor Cleve zusammen mit Holmium in Erbia (Erbiumoxid) entdeckt (siehe Holmium|L-Abk. bzw. redirect=#REDIRECT [[Thulium]]|radioaktiv=|hoch=Thulium|runter=Mendelevium|Bild-Element=|Bild-Verwendung=|www= wurde 1879 in Schweden durch Cleve entdeckt.|E-Gruppe=|Sonstiges-kurz=|OZ3=069|WL=nichda|Text= }}
[[Kategorie:Chemie]][[Kategorie:Chemikalien]]</v>
      </c>
      <c r="AR70" s="31" t="e">
        <f t="shared" si="19"/>
        <v>#REF!</v>
      </c>
      <c r="AS70" t="str">
        <f t="shared" si="28"/>
        <v xml:space="preserve"> wurde 1879 in Schweden durch Cleve entdeckt. http://www.webelements.com/webelements/elements/media/element-pics/Tm.jpg</v>
      </c>
    </row>
    <row r="71" spans="1:45" ht="18" customHeight="1">
      <c r="A71">
        <v>70</v>
      </c>
      <c r="B71" t="s">
        <v>346</v>
      </c>
      <c r="C71" t="s">
        <v>347</v>
      </c>
      <c r="D71">
        <v>173.05</v>
      </c>
      <c r="E71">
        <v>1.1000000000000001</v>
      </c>
      <c r="F71" s="36" t="s">
        <v>1090</v>
      </c>
      <c r="G71" s="54" t="s">
        <v>523</v>
      </c>
      <c r="H71" s="42" t="s">
        <v>470</v>
      </c>
      <c r="I71">
        <v>1878</v>
      </c>
      <c r="J71" t="s">
        <v>216</v>
      </c>
      <c r="K71" t="s">
        <v>329</v>
      </c>
      <c r="L71">
        <v>86</v>
      </c>
      <c r="M71" s="56" t="s">
        <v>1286</v>
      </c>
      <c r="N71" s="30">
        <v>603.44000000000005</v>
      </c>
      <c r="O71" t="s">
        <v>348</v>
      </c>
      <c r="P71" s="30">
        <v>1174.82</v>
      </c>
      <c r="Q71">
        <v>3</v>
      </c>
      <c r="R71" s="30">
        <v>2416.9699999999998</v>
      </c>
      <c r="S71" t="s">
        <v>1033</v>
      </c>
      <c r="U71" t="s">
        <v>663</v>
      </c>
      <c r="V71" t="s">
        <v>772</v>
      </c>
      <c r="W71" t="str">
        <f t="shared" si="29"/>
        <v>Thulium</v>
      </c>
      <c r="X71" t="str">
        <f t="shared" si="23"/>
        <v>Lutetium</v>
      </c>
      <c r="Y71" t="s">
        <v>809</v>
      </c>
      <c r="Z71" s="16" t="s">
        <v>347</v>
      </c>
      <c r="AA71" s="35"/>
      <c r="AB71" s="16"/>
      <c r="AC71" s="27" t="s">
        <v>262</v>
      </c>
      <c r="AD71" s="27" t="str">
        <f t="shared" si="24"/>
        <v>#REDIRECT [[Ytterbium]]</v>
      </c>
      <c r="AE71" s="7"/>
      <c r="AF71" t="str">
        <f t="shared" si="22"/>
        <v>Ytterbium</v>
      </c>
      <c r="AG71" t="str">
        <f t="shared" si="18"/>
        <v>Nobelium</v>
      </c>
      <c r="AJ71" t="str">
        <f t="shared" si="25"/>
        <v xml:space="preserve"> wurde 1878 in Schweiz durch Marignac entdeckt.</v>
      </c>
      <c r="AM71" t="str">
        <f t="shared" si="20"/>
        <v>070</v>
      </c>
      <c r="AN71" t="s">
        <v>1042</v>
      </c>
      <c r="AO71" s="27" t="e">
        <f>CONCATENATE("{{Element|Ordnungszahl=",A71,"|Symbol=",B71,"|Name=",C71,"|Atommasse=",#REF!,"|EN=",E71,"|BP=",F71,"|MP=",G71,"|Dichte=",H71,"|Ionenradius=",L71,"|Ivolt=",N71,"|Aradius=",M71)</f>
        <v>#REF!</v>
      </c>
      <c r="AP71" s="27" t="str">
        <f t="shared" si="26"/>
        <v>|Enthalpie=152.3|IVolt2=1174,82|Wert=3|IVolt3=2416,97|Farbe=silbrig|Flamme=|Elektronenkonfiguration=[Xe] 6s2 4f14|EK-Wiki=[Xe] 6s&lt;sup&gt;2&lt;/sup&gt; 4f&lt;sup&gt;1&lt;/sup&gt;4|pre=Thulium|next=Lutetium|Metall=Metall|E-Name=Ytterbium|L-Name=</v>
      </c>
      <c r="AQ71" s="27" t="str">
        <f t="shared" si="27"/>
        <v>|Verwendung=|Wortherkunft=Ytterbium (abgeleitet von Ytterby, einer Grube auf einer Schäreninsel nördlich von Stockholm, das für die Namen der Elemente Yttrium, Terbium und Erbium Pate stand) Marignac fand in der als Erbia bekannten Erde einen neuen Bestandteil und nannte ihn Ytterbia. Er vermutete in der von ihm isolierten Verbindung ein neues Element, das er Ytterbium nannte. 1907 trennte der französische Chemiker Georges Urbain Marignacs Ytterbia in zwei Komponenten, Neoytterbia und Lutetia. Später verkürzte man die Elementbezeichnung Neoytterbium zu Ytterbium.|L-Abk. bzw. redirect=#REDIRECT [[Ytterbium]]|radioaktiv=|hoch=Ytterbium|runter=Nobelium|Bild-Element=|Bild-Verwendung=|www= wurde 1878 in Schweiz durch Marignac entdeckt.|E-Gruppe=|Sonstiges-kurz=|OZ3=070|WL=nichda|Text= }}
[[Kategorie:Chemie]][[Kategorie:Chemikalien]]</v>
      </c>
      <c r="AR71" s="31" t="e">
        <f t="shared" si="19"/>
        <v>#REF!</v>
      </c>
      <c r="AS71" t="str">
        <f t="shared" si="28"/>
        <v xml:space="preserve"> wurde 1878 in Schweiz durch Marignac entdeckt. http://www.webelements.com/webelements/elements/media/element-pics/Yb.jpg</v>
      </c>
    </row>
    <row r="72" spans="1:45" ht="18" customHeight="1">
      <c r="A72">
        <v>71</v>
      </c>
      <c r="B72" t="s">
        <v>349</v>
      </c>
      <c r="C72" t="s">
        <v>350</v>
      </c>
      <c r="D72">
        <v>174.97</v>
      </c>
      <c r="E72">
        <v>1.3</v>
      </c>
      <c r="F72" s="36" t="s">
        <v>1091</v>
      </c>
      <c r="G72" s="54" t="s">
        <v>1154</v>
      </c>
      <c r="H72" t="s">
        <v>471</v>
      </c>
      <c r="I72">
        <v>1905</v>
      </c>
      <c r="J72" t="s">
        <v>231</v>
      </c>
      <c r="K72" t="s">
        <v>886</v>
      </c>
      <c r="L72">
        <v>85</v>
      </c>
      <c r="M72" s="56" t="s">
        <v>1286</v>
      </c>
      <c r="N72" s="30">
        <v>523.52</v>
      </c>
      <c r="O72" t="s">
        <v>351</v>
      </c>
      <c r="P72" s="30">
        <v>1341.16</v>
      </c>
      <c r="Q72">
        <v>4</v>
      </c>
      <c r="R72" s="30">
        <v>2022.29</v>
      </c>
      <c r="S72" t="s">
        <v>1033</v>
      </c>
      <c r="U72" t="s">
        <v>672</v>
      </c>
      <c r="V72" t="s">
        <v>773</v>
      </c>
      <c r="W72" t="str">
        <f t="shared" si="29"/>
        <v>Ytterbium</v>
      </c>
      <c r="X72" t="str">
        <f t="shared" si="23"/>
        <v>Hafnium</v>
      </c>
      <c r="Y72" t="s">
        <v>809</v>
      </c>
      <c r="Z72" s="16" t="s">
        <v>350</v>
      </c>
      <c r="AA72" s="35"/>
      <c r="AB72" s="16"/>
      <c r="AC72" s="27" t="s">
        <v>263</v>
      </c>
      <c r="AD72" s="27" t="str">
        <f t="shared" si="24"/>
        <v>#REDIRECT [[Lutetium]]</v>
      </c>
      <c r="AE72" s="7"/>
      <c r="AF72" t="str">
        <f t="shared" si="22"/>
        <v>Lutetium</v>
      </c>
      <c r="AG72" t="str">
        <f t="shared" si="18"/>
        <v>Lawrencium</v>
      </c>
      <c r="AJ72" t="str">
        <f t="shared" si="25"/>
        <v xml:space="preserve"> wurde 1905 in Frankreich durch Urbain, von Welsbach entdeckt.</v>
      </c>
      <c r="AM72" t="str">
        <f t="shared" si="20"/>
        <v>071</v>
      </c>
      <c r="AN72" t="s">
        <v>1042</v>
      </c>
      <c r="AO72" s="27" t="e">
        <f>CONCATENATE("{{Element|Ordnungszahl=",A72,"|Symbol=",B72,"|Name=",C72,"|Atommasse=",#REF!,"|EN=",E72,"|BP=",F72,"|MP=",G72,"|Dichte=",H72,"|Ionenradius=",L72,"|Ivolt=",N72,"|Aradius=",M72)</f>
        <v>#REF!</v>
      </c>
      <c r="AP72" s="27" t="str">
        <f t="shared" si="26"/>
        <v>|Enthalpie=427.6|IVolt2=1341,16|Wert=4|IVolt3=2022,29|Farbe=silbrig|Flamme=|Elektronenkonfiguration=[Xe] 6s2 4f14 5d1|EK-Wiki=[Xe] 6s&lt;sup&gt;2&lt;/sup&gt; 4f&lt;sup&gt;1&lt;/sup&gt;4 5d&lt;sup&gt;1&lt;/sup&gt;|pre=Ytterbium|next=Hafnium|Metall=Metall|E-Name=Lutetium|L-Name=</v>
      </c>
      <c r="AQ72" s="27" t="str">
        <f t="shared" si="27"/>
        <v>|Verwendung=|Wortherkunft=Lutetium wurde nach dem römischen Namen von Paris, ''Lutetia'', benannte.|L-Abk. bzw. redirect=#REDIRECT [[Lutetium]]|radioaktiv=|hoch=Lutetium|runter=Lawrencium|Bild-Element=|Bild-Verwendung=|www= wurde 1905 in Frankreich durch Urbain, von Welsbach entdeckt.|E-Gruppe=|Sonstiges-kurz=|OZ3=071|WL=nichda|Text= }}
[[Kategorie:Chemie]][[Kategorie:Chemikalien]]</v>
      </c>
      <c r="AR72" s="31" t="e">
        <f t="shared" si="19"/>
        <v>#REF!</v>
      </c>
      <c r="AS72" t="str">
        <f t="shared" si="28"/>
        <v xml:space="preserve"> wurde 1905 in Frankreich durch Urbain, von Welsbach entdeckt. http://www.webelements.com/webelements/elements/media/element-pics/Lu.jpg</v>
      </c>
    </row>
    <row r="73" spans="1:45" ht="18" customHeight="1">
      <c r="A73">
        <v>72</v>
      </c>
      <c r="B73" t="s">
        <v>352</v>
      </c>
      <c r="C73" t="s">
        <v>353</v>
      </c>
      <c r="D73">
        <v>178.49</v>
      </c>
      <c r="E73">
        <v>1.3</v>
      </c>
      <c r="F73" s="36" t="s">
        <v>1195</v>
      </c>
      <c r="G73" s="54" t="s">
        <v>1155</v>
      </c>
      <c r="H73" s="42" t="s">
        <v>1297</v>
      </c>
      <c r="I73">
        <v>1923</v>
      </c>
      <c r="J73" t="s">
        <v>232</v>
      </c>
      <c r="K73" t="s">
        <v>918</v>
      </c>
      <c r="L73">
        <v>84</v>
      </c>
      <c r="M73" s="56" t="s">
        <v>1280</v>
      </c>
      <c r="N73" s="30">
        <v>658.52</v>
      </c>
      <c r="O73" t="s">
        <v>354</v>
      </c>
      <c r="P73" s="30">
        <v>1437.64</v>
      </c>
      <c r="Q73">
        <v>5</v>
      </c>
      <c r="R73" s="30">
        <v>2248.12</v>
      </c>
      <c r="S73" t="s">
        <v>1033</v>
      </c>
      <c r="U73" t="s">
        <v>673</v>
      </c>
      <c r="V73" t="s">
        <v>774</v>
      </c>
      <c r="W73" t="str">
        <f t="shared" si="29"/>
        <v>Lutetium</v>
      </c>
      <c r="X73" t="str">
        <f t="shared" si="23"/>
        <v>Tantal</v>
      </c>
      <c r="Y73" t="s">
        <v>809</v>
      </c>
      <c r="Z73" s="16" t="s">
        <v>353</v>
      </c>
      <c r="AA73" s="35"/>
      <c r="AB73" s="16"/>
      <c r="AC73" s="27" t="s">
        <v>264</v>
      </c>
      <c r="AD73" s="27" t="str">
        <f t="shared" si="24"/>
        <v>#REDIRECT [[Hafnium]]</v>
      </c>
      <c r="AE73" s="7"/>
      <c r="AF73" t="str">
        <f t="shared" ref="AF73:AF79" si="30">C41</f>
        <v>Zirconium</v>
      </c>
      <c r="AG73" t="str">
        <f t="shared" si="18"/>
        <v>Rutherfordium</v>
      </c>
      <c r="AJ73" t="str">
        <f t="shared" si="25"/>
        <v xml:space="preserve"> wurde 1923 in Dänemark durch Coster, de Hevesey entdeckt.</v>
      </c>
      <c r="AM73" t="str">
        <f t="shared" si="20"/>
        <v>072</v>
      </c>
      <c r="AN73" t="s">
        <v>1042</v>
      </c>
      <c r="AO73" s="27" t="e">
        <f>CONCATENATE("{{Element|Ordnungszahl=",A73,"|Symbol=",B73,"|Name=",C73,"|Atommasse=",#REF!,"|EN=",E73,"|BP=",F73,"|MP=",G73,"|Dichte=",H73,"|Ionenradius=",L73,"|Ivolt=",N73,"|Aradius=",M73)</f>
        <v>#REF!</v>
      </c>
      <c r="AP73" s="27" t="str">
        <f t="shared" si="26"/>
        <v>|Enthalpie=619.2|IVolt2=1437,64|Wert=5|IVolt3=2248,12|Farbe=silbrig|Flamme=|Elektronenkonfiguration=[Xe] 6s2 4f14 5d2|EK-Wiki=[Xe] 6s&lt;sup&gt;2&lt;/sup&gt; 4f&lt;sup&gt;1&lt;/sup&gt;4 5d&lt;sup&gt;2&lt;/sup&gt;|pre=Lutetium|next=Tantal|Metall=Metall|E-Name=Hafnium|L-Name=</v>
      </c>
      <c r="AQ73" s="27" t="str">
        <f t="shared" si="27"/>
        <v>|Verwendung=|Wortherkunft=Hafnium (lat. ''Hafnia'' für Kopenhagen) wurde 1923 in Kopenhagen entdeckt.|L-Abk. bzw. redirect=#REDIRECT [[Hafnium]]|radioaktiv=|hoch=Zirconium|runter=Rutherfordium|Bild-Element=|Bild-Verwendung=|www= wurde 1923 in Dänemark durch Coster, de Hevesey entdeckt.|E-Gruppe=|Sonstiges-kurz=|OZ3=072|WL=nichda|Text= }}
[[Kategorie:Chemie]][[Kategorie:Chemikalien]]</v>
      </c>
      <c r="AR73" s="31" t="e">
        <f t="shared" si="19"/>
        <v>#REF!</v>
      </c>
      <c r="AS73" t="str">
        <f t="shared" si="28"/>
        <v xml:space="preserve"> wurde 1923 in Dänemark durch Coster, de Hevesey entdeckt. http://www.webelements.com/webelements/elements/media/element-pics/Hf.jpg</v>
      </c>
    </row>
    <row r="74" spans="1:45" ht="18" customHeight="1">
      <c r="A74">
        <v>73</v>
      </c>
      <c r="B74" t="s">
        <v>355</v>
      </c>
      <c r="C74" t="s">
        <v>356</v>
      </c>
      <c r="D74">
        <v>180.9</v>
      </c>
      <c r="E74">
        <v>1.5</v>
      </c>
      <c r="F74" s="36" t="s">
        <v>1196</v>
      </c>
      <c r="G74" s="54" t="s">
        <v>1156</v>
      </c>
      <c r="H74" s="42" t="s">
        <v>1238</v>
      </c>
      <c r="I74">
        <v>1846</v>
      </c>
      <c r="J74" t="s">
        <v>233</v>
      </c>
      <c r="K74" t="s">
        <v>882</v>
      </c>
      <c r="L74">
        <v>64</v>
      </c>
      <c r="M74" s="56" t="s">
        <v>1257</v>
      </c>
      <c r="N74" s="30">
        <v>728.43</v>
      </c>
      <c r="O74">
        <v>782</v>
      </c>
      <c r="P74" s="30" t="s">
        <v>874</v>
      </c>
      <c r="Q74">
        <v>11</v>
      </c>
      <c r="R74" s="30" t="s">
        <v>874</v>
      </c>
      <c r="S74" t="s">
        <v>32</v>
      </c>
      <c r="U74" t="s">
        <v>674</v>
      </c>
      <c r="V74" t="s">
        <v>775</v>
      </c>
      <c r="W74" t="str">
        <f t="shared" si="29"/>
        <v>Hafnium</v>
      </c>
      <c r="X74" t="str">
        <f t="shared" si="23"/>
        <v>Wolfram</v>
      </c>
      <c r="Y74" t="s">
        <v>809</v>
      </c>
      <c r="Z74" s="16" t="s">
        <v>844</v>
      </c>
      <c r="AA74" s="35"/>
      <c r="AB74" s="16"/>
      <c r="AC74" s="27" t="s">
        <v>265</v>
      </c>
      <c r="AD74" s="27" t="str">
        <f t="shared" si="24"/>
        <v>#REDIRECT [[Tantal]]</v>
      </c>
      <c r="AE74" s="7"/>
      <c r="AF74" t="str">
        <f t="shared" si="30"/>
        <v>Niob</v>
      </c>
      <c r="AG74" t="str">
        <f t="shared" si="18"/>
        <v>Dubnium</v>
      </c>
      <c r="AJ74" t="str">
        <f t="shared" si="25"/>
        <v xml:space="preserve"> wurde 1846 in Schweden durch Rose entdeckt.</v>
      </c>
      <c r="AM74" t="str">
        <f t="shared" si="20"/>
        <v>073</v>
      </c>
      <c r="AN74" t="s">
        <v>1042</v>
      </c>
      <c r="AO74" s="27" t="e">
        <f>CONCATENATE("{{Element|Ordnungszahl=",A74,"|Symbol=",B74,"|Name=",C74,"|Atommasse=",#REF!,"|EN=",E74,"|BP=",F74,"|MP=",G74,"|Dichte=",H74,"|Ionenradius=",L74,"|Ivolt=",N74,"|Aradius=",M74)</f>
        <v>#REF!</v>
      </c>
      <c r="AP74" s="27" t="str">
        <f t="shared" si="26"/>
        <v>|Enthalpie=782|IVolt2=-|Wert=11|IVolt3=-|Farbe=grau|Flamme=|Elektronenkonfiguration=[Xe] 6s2 4f14 5d3|EK-Wiki=[Xe] 6s&lt;sup&gt;2&lt;/sup&gt; 4f&lt;sup&gt;1&lt;/sup&gt;4 5d&lt;sup&gt;3&lt;/sup&gt;|pre=Hafnium|next=Wolfram|Metall=Metall|E-Name=Tantalum|L-Name=</v>
      </c>
      <c r="AQ74" s="27" t="str">
        <f t="shared" si="27"/>
        <v>|Verwendung=|Wortherkunft=Tantal (''Tantalos'', griechische Mythologie) Lange Zeit hielt man Niob und Tantal für identisch. Erst 1844 konnte Heinrich Rose das unterschiedliche Verhalten von Niob- und Tantalsäure zeigen. Seinen Namen erhielt es in Anlehnung an die griechische Mythologie, da es unter der Säure "schmachten muss und seinen Durst nicht löschen kann, wie Tantalos in der Unterwelt". (Weil Ta&lt;small&gt;2&lt;/small&gt;O&lt;small&gt;5&lt;/small&gt; mit Säuren keine Salze bildet.)|L-Abk. bzw. redirect=#REDIRECT [[Tantal]]|radioaktiv=|hoch=Niob|runter=Dubnium|Bild-Element=|Bild-Verwendung=|www= wurde 1846 in Schweden durch Rose entdeckt.|E-Gruppe=|Sonstiges-kurz=|OZ3=073|WL=nichda|Text= }}
[[Kategorie:Chemie]][[Kategorie:Chemikalien]]</v>
      </c>
      <c r="AR74" s="31" t="e">
        <f t="shared" si="19"/>
        <v>#REF!</v>
      </c>
      <c r="AS74" t="str">
        <f t="shared" si="28"/>
        <v xml:space="preserve"> wurde 1846 in Schweden durch Rose entdeckt. http://www.webelements.com/webelements/elements/media/element-pics/Ta.jpg</v>
      </c>
    </row>
    <row r="75" spans="1:45" ht="18" customHeight="1">
      <c r="A75">
        <v>74</v>
      </c>
      <c r="B75" t="s">
        <v>357</v>
      </c>
      <c r="C75" t="s">
        <v>358</v>
      </c>
      <c r="D75">
        <v>183.84</v>
      </c>
      <c r="E75">
        <v>1.7</v>
      </c>
      <c r="F75" s="36" t="s">
        <v>1092</v>
      </c>
      <c r="G75" s="54" t="s">
        <v>1157</v>
      </c>
      <c r="H75" t="s">
        <v>1239</v>
      </c>
      <c r="I75">
        <v>1783</v>
      </c>
      <c r="J75" t="s">
        <v>234</v>
      </c>
      <c r="K75" t="s">
        <v>359</v>
      </c>
      <c r="L75">
        <v>62</v>
      </c>
      <c r="M75" s="56" t="s">
        <v>1274</v>
      </c>
      <c r="N75" s="30">
        <v>758.77</v>
      </c>
      <c r="O75" t="s">
        <v>360</v>
      </c>
      <c r="P75" s="30" t="s">
        <v>874</v>
      </c>
      <c r="Q75">
        <v>6</v>
      </c>
      <c r="R75" s="30" t="s">
        <v>874</v>
      </c>
      <c r="S75" t="s">
        <v>1035</v>
      </c>
      <c r="U75" t="s">
        <v>675</v>
      </c>
      <c r="V75" t="s">
        <v>776</v>
      </c>
      <c r="W75" t="str">
        <f t="shared" si="29"/>
        <v>Tantal</v>
      </c>
      <c r="X75" t="str">
        <f t="shared" si="23"/>
        <v>Rhenium</v>
      </c>
      <c r="Y75" t="s">
        <v>809</v>
      </c>
      <c r="Z75" s="16" t="s">
        <v>856</v>
      </c>
      <c r="AA75" s="35"/>
      <c r="AB75" s="16"/>
      <c r="AC75" s="27" t="s">
        <v>6</v>
      </c>
      <c r="AD75" s="27" t="str">
        <f t="shared" si="24"/>
        <v>#REDIRECT [[Wolfram]]</v>
      </c>
      <c r="AE75" s="7"/>
      <c r="AF75" t="str">
        <f t="shared" si="30"/>
        <v>Molybdän</v>
      </c>
      <c r="AG75" t="str">
        <f t="shared" si="18"/>
        <v>Seaborgium</v>
      </c>
      <c r="AJ75" t="str">
        <f t="shared" si="25"/>
        <v xml:space="preserve"> wurde 1783 in Spanien durch de Elhuyar entdeckt.</v>
      </c>
      <c r="AM75" t="str">
        <f t="shared" ref="AM75:AM86" si="31">CONCATENATE("0",A75,)</f>
        <v>074</v>
      </c>
      <c r="AN75" t="s">
        <v>1041</v>
      </c>
      <c r="AO75" s="27" t="e">
        <f>CONCATENATE("{{Element|Ordnungszahl=",A75,"|Symbol=",B75,"|Name=",C75,"|Atommasse=",#REF!,"|EN=",E75,"|BP=",F75,"|MP=",G75,"|Dichte=",H75,"|Ionenradius=",L75,"|Ivolt=",N75,"|Aradius=",M75)</f>
        <v>#REF!</v>
      </c>
      <c r="AP75" s="27" t="str">
        <f t="shared" si="26"/>
        <v>|Enthalpie=849.4|IVolt2=-|Wert=6|IVolt3=-|Farbe=silbrig-weiß|Flamme=|Elektronenkonfiguration=[Xe] 6s2 4f14 5d4|EK-Wiki=[Xe] 6s&lt;sup&gt;2&lt;/sup&gt; 4f&lt;sup&gt;1&lt;/sup&gt;4 5d&lt;sup&gt;4&lt;/sup&gt;|pre=Tantal|next=Rhenium|Metall=Metall|E-Name=Tungsten|L-Name=</v>
      </c>
      <c r="AQ75" s="27" t="str">
        <f t="shared" si="27"/>
        <v>|Verwendung=|Wortherkunft=Er nannte das Mineral lupi spuma, was aus dem Lateinischen übersetzt soviel wie "Wolf(s)-Schaum bedeutet. Später wurde aus Wolfschaum Wolfrahm. Und schließlich entstand das heute bekannte Wort Wolfram.|L-Abk. bzw. redirect=#REDIRECT [[Wolfram]]|radioaktiv=|hoch=Molybdän|runter=Seaborgium|Bild-Element=|Bild-Verwendung=|www= wurde 1783 in Spanien durch de Elhuyar entdeckt.|E-Gruppe=|Sonstiges-kurz=|OZ3=074|WL=Sammlung|Text= }}
[[Kategorie:Chemie]][[Kategorie:Chemikalien]]</v>
      </c>
      <c r="AR75" s="31" t="e">
        <f t="shared" si="19"/>
        <v>#REF!</v>
      </c>
      <c r="AS75" t="str">
        <f t="shared" si="28"/>
        <v xml:space="preserve"> wurde 1783 in Spanien durch de Elhuyar entdeckt. http://www.webelements.com/webelements/elements/media/element-pics/W.jpg</v>
      </c>
    </row>
    <row r="76" spans="1:45" ht="18" customHeight="1">
      <c r="A76">
        <v>75</v>
      </c>
      <c r="B76" t="s">
        <v>361</v>
      </c>
      <c r="C76" t="s">
        <v>362</v>
      </c>
      <c r="D76">
        <v>186.21</v>
      </c>
      <c r="E76">
        <v>1.9</v>
      </c>
      <c r="F76" s="36" t="s">
        <v>1093</v>
      </c>
      <c r="G76" s="54" t="s">
        <v>1158</v>
      </c>
      <c r="H76" s="42" t="s">
        <v>1227</v>
      </c>
      <c r="I76">
        <v>1925</v>
      </c>
      <c r="J76" t="s">
        <v>235</v>
      </c>
      <c r="K76" t="s">
        <v>926</v>
      </c>
      <c r="L76">
        <v>60</v>
      </c>
      <c r="M76" s="56" t="s">
        <v>1274</v>
      </c>
      <c r="N76" s="30">
        <v>755.82</v>
      </c>
      <c r="O76" t="s">
        <v>363</v>
      </c>
      <c r="P76" s="30" t="s">
        <v>874</v>
      </c>
      <c r="Q76">
        <v>12</v>
      </c>
      <c r="R76" s="30" t="s">
        <v>874</v>
      </c>
      <c r="S76" t="s">
        <v>1035</v>
      </c>
      <c r="U76" t="s">
        <v>676</v>
      </c>
      <c r="V76" t="s">
        <v>777</v>
      </c>
      <c r="W76" t="str">
        <f t="shared" si="29"/>
        <v>Wolfram</v>
      </c>
      <c r="X76" t="str">
        <f t="shared" si="23"/>
        <v>Osmium</v>
      </c>
      <c r="Y76" t="s">
        <v>809</v>
      </c>
      <c r="Z76" s="16" t="s">
        <v>362</v>
      </c>
      <c r="AA76" s="35"/>
      <c r="AB76" s="16"/>
      <c r="AC76" s="27" t="s">
        <v>266</v>
      </c>
      <c r="AD76" s="27" t="str">
        <f t="shared" si="24"/>
        <v>#REDIRECT [[Rhenium]]</v>
      </c>
      <c r="AE76" s="7"/>
      <c r="AF76" t="str">
        <f t="shared" si="30"/>
        <v>Technetium</v>
      </c>
      <c r="AG76" t="str">
        <f t="shared" si="18"/>
        <v>Bohrium</v>
      </c>
      <c r="AJ76" t="str">
        <f t="shared" si="25"/>
        <v xml:space="preserve"> wurde 1925 in Deutschland durch Noddack, Berg entdeckt.</v>
      </c>
      <c r="AM76" t="str">
        <f t="shared" si="31"/>
        <v>075</v>
      </c>
      <c r="AN76" t="s">
        <v>1042</v>
      </c>
      <c r="AO76" s="27" t="e">
        <f>CONCATENATE("{{Element|Ordnungszahl=",A76,"|Symbol=",B76,"|Name=",C76,"|Atommasse=",#REF!,"|EN=",E76,"|BP=",F76,"|MP=",G76,"|Dichte=",H76,"|Ionenradius=",L76,"|Ivolt=",N76,"|Aradius=",M76)</f>
        <v>#REF!</v>
      </c>
      <c r="AP76" s="27" t="str">
        <f t="shared" si="26"/>
        <v>|Enthalpie=769.9|IVolt2=-|Wert=12|IVolt3=-|Farbe=silbrig-weiß|Flamme=|Elektronenkonfiguration=[Xe] 6s2 4f14 5d5|EK-Wiki=[Xe] 6s&lt;sup&gt;2&lt;/sup&gt; 4f&lt;sup&gt;1&lt;/sup&gt;4 5d&lt;sup&gt;5&lt;/sup&gt;|pre=Wolfram|next=Osmium|Metall=Metall|E-Name=Rhenium|L-Name=</v>
      </c>
      <c r="AQ76" s="27" t="str">
        <f t="shared" si="27"/>
        <v>|Verwendung=|Wortherkunft=Rhenium (lat. ''Rhenus'' für Rhein)|L-Abk. bzw. redirect=#REDIRECT [[Rhenium]]|radioaktiv=|hoch=Technetium|runter=Bohrium|Bild-Element=|Bild-Verwendung=|www= wurde 1925 in Deutschland durch Noddack, Berg entdeckt.|E-Gruppe=|Sonstiges-kurz=|OZ3=075|WL=nichda|Text= }}
[[Kategorie:Chemie]][[Kategorie:Chemikalien]]</v>
      </c>
      <c r="AR76" s="31" t="e">
        <f t="shared" si="19"/>
        <v>#REF!</v>
      </c>
      <c r="AS76" t="str">
        <f t="shared" si="28"/>
        <v xml:space="preserve"> wurde 1925 in Deutschland durch Noddack, Berg entdeckt. http://www.webelements.com/webelements/elements/media/element-pics/Re.jpg</v>
      </c>
    </row>
    <row r="77" spans="1:45" ht="18" customHeight="1">
      <c r="A77">
        <v>76</v>
      </c>
      <c r="B77" t="s">
        <v>364</v>
      </c>
      <c r="C77" t="s">
        <v>365</v>
      </c>
      <c r="D77">
        <v>190.23</v>
      </c>
      <c r="E77">
        <v>2.2000000000000002</v>
      </c>
      <c r="F77" s="36" t="s">
        <v>1197</v>
      </c>
      <c r="G77" s="54" t="s">
        <v>1087</v>
      </c>
      <c r="H77" s="42" t="s">
        <v>1298</v>
      </c>
      <c r="I77">
        <v>1804</v>
      </c>
      <c r="J77" t="s">
        <v>236</v>
      </c>
      <c r="K77" t="s">
        <v>873</v>
      </c>
      <c r="L77">
        <v>67</v>
      </c>
      <c r="M77" s="56" t="s">
        <v>1275</v>
      </c>
      <c r="N77" s="30">
        <v>814.17</v>
      </c>
      <c r="O77">
        <v>791</v>
      </c>
      <c r="P77" s="30" t="s">
        <v>874</v>
      </c>
      <c r="Q77">
        <v>6</v>
      </c>
      <c r="R77" s="30" t="s">
        <v>874</v>
      </c>
      <c r="S77" t="s">
        <v>366</v>
      </c>
      <c r="U77" t="s">
        <v>677</v>
      </c>
      <c r="V77" t="s">
        <v>778</v>
      </c>
      <c r="W77" t="str">
        <f t="shared" si="29"/>
        <v>Rhenium</v>
      </c>
      <c r="X77" t="str">
        <f t="shared" si="23"/>
        <v>Iridium</v>
      </c>
      <c r="Y77" t="s">
        <v>809</v>
      </c>
      <c r="Z77" s="16" t="s">
        <v>365</v>
      </c>
      <c r="AA77" s="35"/>
      <c r="AB77" s="16"/>
      <c r="AC77" s="27" t="s">
        <v>267</v>
      </c>
      <c r="AD77" s="27" t="str">
        <f t="shared" si="24"/>
        <v>#REDIRECT [[Osmium]]</v>
      </c>
      <c r="AE77" s="7"/>
      <c r="AF77" t="str">
        <f t="shared" si="30"/>
        <v>Ruthenium</v>
      </c>
      <c r="AG77" t="str">
        <f t="shared" si="18"/>
        <v>Hassium</v>
      </c>
      <c r="AJ77" t="str">
        <f t="shared" si="25"/>
        <v xml:space="preserve"> wurde 1804 in England durch Tennant entdeckt.</v>
      </c>
      <c r="AM77" t="str">
        <f t="shared" si="31"/>
        <v>076</v>
      </c>
      <c r="AN77" t="s">
        <v>1042</v>
      </c>
      <c r="AO77" s="27" t="e">
        <f>CONCATENATE("{{Element|Ordnungszahl=",A77,"|Symbol=",B77,"|Name=",C77,"|Atommasse=",#REF!,"|EN=",E77,"|BP=",F77,"|MP=",G77,"|Dichte=",H77,"|Ionenradius=",L77,"|Ivolt=",N77,"|Aradius=",M77)</f>
        <v>#REF!</v>
      </c>
      <c r="AP77" s="27" t="str">
        <f t="shared" si="26"/>
        <v>|Enthalpie=791|IVolt2=-|Wert=6|IVolt3=-|Farbe=blau-grau|Flamme=|Elektronenkonfiguration=[Xe] 6s2 4f14 5d6|EK-Wiki=[Xe] 6s&lt;sup&gt;2&lt;/sup&gt; 4f&lt;sup&gt;1&lt;/sup&gt;4 5d&lt;sup&gt;6&lt;/sup&gt;|pre=Rhenium|next=Iridium|Metall=Metall|E-Name=Osmium|L-Name=</v>
      </c>
      <c r="AQ77" s="27" t="str">
        <f t="shared" si="27"/>
        <v>|Verwendung=|Wortherkunft=Osmium (griechisch ''osme'' für Geruch) wurde im Rückstand von in Königswasser aufgelöstem Platin entdeckt. Seinem rettichartigen Geruch verdankt das Element seinen Namen.|L-Abk. bzw. redirect=#REDIRECT [[Osmium]]|radioaktiv=|hoch=Ruthenium|runter=Hassium|Bild-Element=|Bild-Verwendung=|www= wurde 1804 in England durch Tennant entdeckt.|E-Gruppe=|Sonstiges-kurz=|OZ3=076|WL=nichda|Text= }}
[[Kategorie:Chemie]][[Kategorie:Chemikalien]]</v>
      </c>
      <c r="AR77" s="31" t="e">
        <f t="shared" si="19"/>
        <v>#REF!</v>
      </c>
      <c r="AS77" t="str">
        <f t="shared" si="28"/>
        <v xml:space="preserve"> wurde 1804 in England durch Tennant entdeckt. http://www.webelements.com/webelements/elements/media/element-pics/Os.jpg</v>
      </c>
    </row>
    <row r="78" spans="1:45" ht="18" customHeight="1">
      <c r="A78">
        <v>77</v>
      </c>
      <c r="B78" t="s">
        <v>367</v>
      </c>
      <c r="C78" t="s">
        <v>368</v>
      </c>
      <c r="D78">
        <v>192.22</v>
      </c>
      <c r="E78">
        <v>2.2000000000000002</v>
      </c>
      <c r="F78" s="36" t="s">
        <v>1198</v>
      </c>
      <c r="G78" s="54" t="s">
        <v>1159</v>
      </c>
      <c r="H78" s="42" t="s">
        <v>1106</v>
      </c>
      <c r="I78">
        <v>1804</v>
      </c>
      <c r="J78" t="s">
        <v>236</v>
      </c>
      <c r="K78" t="s">
        <v>873</v>
      </c>
      <c r="L78">
        <v>66</v>
      </c>
      <c r="M78" s="56" t="s">
        <v>1274</v>
      </c>
      <c r="N78" s="30">
        <v>865.19</v>
      </c>
      <c r="O78" t="s">
        <v>369</v>
      </c>
      <c r="P78" s="30" t="s">
        <v>874</v>
      </c>
      <c r="Q78">
        <v>6</v>
      </c>
      <c r="R78" s="30" t="s">
        <v>874</v>
      </c>
      <c r="S78" t="s">
        <v>915</v>
      </c>
      <c r="U78" t="s">
        <v>678</v>
      </c>
      <c r="V78" t="s">
        <v>779</v>
      </c>
      <c r="W78" t="str">
        <f t="shared" si="29"/>
        <v>Osmium</v>
      </c>
      <c r="X78" t="str">
        <f t="shared" si="23"/>
        <v>Platin</v>
      </c>
      <c r="Y78" t="s">
        <v>809</v>
      </c>
      <c r="Z78" s="16" t="s">
        <v>368</v>
      </c>
      <c r="AA78" s="35"/>
      <c r="AB78" s="16"/>
      <c r="AC78" s="27" t="s">
        <v>268</v>
      </c>
      <c r="AD78" s="27" t="str">
        <f t="shared" si="24"/>
        <v>#REDIRECT [[Iridium]]</v>
      </c>
      <c r="AE78" s="7"/>
      <c r="AF78" t="str">
        <f t="shared" si="30"/>
        <v>Rhodium</v>
      </c>
      <c r="AG78" t="str">
        <f t="shared" si="18"/>
        <v>Meitnerium</v>
      </c>
      <c r="AJ78" t="str">
        <f t="shared" si="25"/>
        <v xml:space="preserve"> wurde 1804 in England durch Tennant entdeckt.</v>
      </c>
      <c r="AM78" t="str">
        <f t="shared" si="31"/>
        <v>077</v>
      </c>
      <c r="AN78" t="s">
        <v>1042</v>
      </c>
      <c r="AO78" s="27" t="e">
        <f>CONCATENATE("{{Element|Ordnungszahl=",A78,"|Symbol=",B78,"|Name=",C78,"|Atommasse=",#REF!,"|EN=",E78,"|BP=",F78,"|MP=",G78,"|Dichte=",H78,"|Ionenradius=",L78,"|Ivolt=",N78,"|Aradius=",M78)</f>
        <v>#REF!</v>
      </c>
      <c r="AP78" s="27" t="str">
        <f t="shared" si="26"/>
        <v>|Enthalpie=665.3|IVolt2=-|Wert=6|IVolt3=-|Farbe=weiß|Flamme=|Elektronenkonfiguration=[Xe] 6s2 4f14 5d7|EK-Wiki=[Xe] 6s&lt;sup&gt;2&lt;/sup&gt; 4f&lt;sup&gt;1&lt;/sup&gt;4 5d&lt;sup&gt;7&lt;/sup&gt;|pre=Osmium|next=Platin|Metall=Metall|E-Name=Iridium|L-Name=</v>
      </c>
      <c r="AQ78" s="27" t="str">
        <f t="shared" si="27"/>
        <v>|Verwendung=|Wortherkunft=Iridium (griechisch ''iris'' für Regenbogen) wurde beim Auflösen eines Rohplatins in Königswasser entdeckt. Die hohe Farbkraft der Iridiumsalze inspirierte zu dem Namen Iridium.|L-Abk. bzw. redirect=#REDIRECT [[Iridium]]|radioaktiv=|hoch=Rhodium|runter=Meitnerium|Bild-Element=|Bild-Verwendung=|www= wurde 1804 in England durch Tennant entdeckt.|E-Gruppe=|Sonstiges-kurz=|OZ3=077|WL=nichda|Text= }}
[[Kategorie:Chemie]][[Kategorie:Chemikalien]]</v>
      </c>
      <c r="AR78" s="31" t="e">
        <f t="shared" si="19"/>
        <v>#REF!</v>
      </c>
      <c r="AS78" t="str">
        <f t="shared" si="28"/>
        <v xml:space="preserve"> wurde 1804 in England durch Tennant entdeckt. http://www.webelements.com/webelements/elements/media/element-pics/Ir.jpg</v>
      </c>
    </row>
    <row r="79" spans="1:45" ht="18" customHeight="1">
      <c r="A79">
        <v>78</v>
      </c>
      <c r="B79" t="s">
        <v>370</v>
      </c>
      <c r="C79" t="s">
        <v>371</v>
      </c>
      <c r="D79">
        <v>195.08</v>
      </c>
      <c r="E79">
        <v>2.2000000000000002</v>
      </c>
      <c r="F79" s="36" t="s">
        <v>1199</v>
      </c>
      <c r="G79" s="54" t="s">
        <v>1160</v>
      </c>
      <c r="H79" s="42" t="s">
        <v>472</v>
      </c>
      <c r="I79">
        <v>1735</v>
      </c>
      <c r="J79" t="s">
        <v>237</v>
      </c>
      <c r="K79" t="s">
        <v>91</v>
      </c>
      <c r="L79">
        <v>70</v>
      </c>
      <c r="M79" s="56" t="s">
        <v>1274</v>
      </c>
      <c r="N79" s="30">
        <v>864.39</v>
      </c>
      <c r="O79" t="s">
        <v>372</v>
      </c>
      <c r="P79" s="30">
        <v>1791.07</v>
      </c>
      <c r="Q79">
        <v>4</v>
      </c>
      <c r="R79" s="30" t="s">
        <v>874</v>
      </c>
      <c r="S79" t="s">
        <v>1035</v>
      </c>
      <c r="U79" t="s">
        <v>679</v>
      </c>
      <c r="V79" t="s">
        <v>780</v>
      </c>
      <c r="W79" t="str">
        <f t="shared" si="29"/>
        <v>Iridium</v>
      </c>
      <c r="X79" t="str">
        <f t="shared" si="23"/>
        <v>Gold</v>
      </c>
      <c r="Y79" t="s">
        <v>809</v>
      </c>
      <c r="Z79" s="16" t="s">
        <v>828</v>
      </c>
      <c r="AA79" s="35"/>
      <c r="AB79" s="16"/>
      <c r="AC79" s="27" t="s">
        <v>269</v>
      </c>
      <c r="AD79" s="27" t="str">
        <f t="shared" si="24"/>
        <v>#REDIRECT [[Platin]]</v>
      </c>
      <c r="AE79" s="7"/>
      <c r="AF79" t="str">
        <f t="shared" si="30"/>
        <v>Palladium</v>
      </c>
      <c r="AG79" t="str">
        <f t="shared" si="18"/>
        <v>Darmstadtium</v>
      </c>
      <c r="AJ79" t="str">
        <f t="shared" si="25"/>
        <v xml:space="preserve"> wurde 1735 in Italien durch de Ulloa entdeckt.</v>
      </c>
      <c r="AM79" t="str">
        <f t="shared" si="31"/>
        <v>078</v>
      </c>
      <c r="AN79" t="s">
        <v>1041</v>
      </c>
      <c r="AO79" s="27" t="e">
        <f>CONCATENATE("{{Element|Ordnungszahl=",A79,"|Symbol=",B79,"|Name=",C79,"|Atommasse=",#REF!,"|EN=",E79,"|BP=",F79,"|MP=",G79,"|Dichte=",H79,"|Ionenradius=",L79,"|Ivolt=",N79,"|Aradius=",M79)</f>
        <v>#REF!</v>
      </c>
      <c r="AP79" s="27" t="str">
        <f t="shared" si="26"/>
        <v>|Enthalpie=565.3|IVolt2=1791,07|Wert=4|IVolt3=-|Farbe=silbrig-weiß|Flamme=|Elektronenkonfiguration=[Xe] 6s1 4f14 5d9|EK-Wiki=[Xe] 6s&lt;sup&gt;1&lt;/sup&gt; 4f&lt;sup&gt;1&lt;/sup&gt;4 5d&lt;sup&gt;9&lt;/sup&gt;|pre=Iridium|next=Gold|Metall=Metall|E-Name=Platinum|L-Name=</v>
      </c>
      <c r="AQ79" s="27" t="str">
        <f t="shared" si="27"/>
        <v>|Verwendung=|Wortherkunft=Platin wurde von den Indianern Südamerikas benutzt. Der Name leitet sich vom spanischen Wort ''platina'', der Kleinerungsform von ''plata'' "Silber", ab.|L-Abk. bzw. redirect=#REDIRECT [[Platin]]|radioaktiv=|hoch=Palladium|runter=Darmstadtium|Bild-Element=|Bild-Verwendung=|www= wurde 1735 in Italien durch de Ulloa entdeckt.|E-Gruppe=|Sonstiges-kurz=|OZ3=078|WL=Sammlung|Text= }}
[[Kategorie:Chemie]][[Kategorie:Chemikalien]]</v>
      </c>
      <c r="AR79" s="31" t="e">
        <f t="shared" si="19"/>
        <v>#REF!</v>
      </c>
      <c r="AS79" t="str">
        <f t="shared" si="28"/>
        <v xml:space="preserve"> wurde 1735 in Italien durch de Ulloa entdeckt. http://www.webelements.com/webelements/elements/media/element-pics/Pt.jpg</v>
      </c>
    </row>
    <row r="80" spans="1:45" ht="18" customHeight="1">
      <c r="A80">
        <v>79</v>
      </c>
      <c r="B80" t="s">
        <v>373</v>
      </c>
      <c r="C80" t="s">
        <v>374</v>
      </c>
      <c r="D80">
        <v>196.97</v>
      </c>
      <c r="E80">
        <v>2.4</v>
      </c>
      <c r="F80" s="36" t="s">
        <v>1094</v>
      </c>
      <c r="G80" s="54" t="s">
        <v>1161</v>
      </c>
      <c r="H80" s="42" t="s">
        <v>473</v>
      </c>
      <c r="I80" t="s">
        <v>812</v>
      </c>
      <c r="L80">
        <v>91</v>
      </c>
      <c r="M80" s="56" t="s">
        <v>1274</v>
      </c>
      <c r="N80" s="30">
        <v>890.13</v>
      </c>
      <c r="O80" t="s">
        <v>375</v>
      </c>
      <c r="P80" s="30">
        <v>1977.96</v>
      </c>
      <c r="Q80">
        <v>3</v>
      </c>
      <c r="R80" s="30" t="s">
        <v>874</v>
      </c>
      <c r="S80" t="s">
        <v>911</v>
      </c>
      <c r="U80" t="s">
        <v>680</v>
      </c>
      <c r="V80" t="s">
        <v>781</v>
      </c>
      <c r="W80" t="str">
        <f t="shared" si="29"/>
        <v>Platin</v>
      </c>
      <c r="X80" t="str">
        <f t="shared" si="23"/>
        <v>Quecksilber</v>
      </c>
      <c r="Y80" t="s">
        <v>809</v>
      </c>
      <c r="Z80" s="16" t="s">
        <v>374</v>
      </c>
      <c r="AA80" s="35" t="s">
        <v>962</v>
      </c>
      <c r="AB80" s="16"/>
      <c r="AC80" s="27" t="s">
        <v>1012</v>
      </c>
      <c r="AD80" s="27" t="str">
        <f>CONCATENATE("&lt;b&gt;{{PAGENAME}}&lt;/b&gt; ist das chemische Symbol für das [[PSE|Element]] &lt;b&gt;&amp;rarr; [[",C80,"]]&lt;/b&gt;, von lateinisch ",AA80,".
[[Kategorie:Chemie]][[Kategorie:Chemikalien]]")</f>
        <v>&lt;b&gt;{{PAGENAME}}&lt;/b&gt; ist das chemische Symbol für das [[PSE|Element]] &lt;b&gt;&amp;rarr; [[Gold]]&lt;/b&gt;, von lateinisch &lt;b&gt;&lt;i&gt;Au&lt;/b&gt;rum&lt;/i&gt;.
[[Kategorie:Chemie]][[Kategorie:Chemikalien]]</v>
      </c>
      <c r="AE80" s="7"/>
      <c r="AF80" t="s">
        <v>103</v>
      </c>
      <c r="AG80" t="str">
        <f t="shared" si="18"/>
        <v>Roentgenium</v>
      </c>
      <c r="AJ80" t="s">
        <v>965</v>
      </c>
      <c r="AM80" t="str">
        <f t="shared" si="31"/>
        <v>079</v>
      </c>
      <c r="AN80" t="s">
        <v>1041</v>
      </c>
      <c r="AO80" s="27" t="e">
        <f>CONCATENATE("{{Element|Ordnungszahl=",A80,"|Symbol=",B80,"|Name=",C80,"|Atommasse=",#REF!,"|EN=",E80,"|BP=",F80,"|MP=",G80,"|Dichte=",H80,"|Ionenradius=",L80,"|Ivolt=",N80,"|Aradius=",M80)</f>
        <v>#REF!</v>
      </c>
      <c r="AP80" s="27" t="str">
        <f t="shared" si="26"/>
        <v>|Enthalpie=366.1|IVolt2=1977,96|Wert=3|IVolt3=-|Farbe=gelb|Flamme=|Elektronenkonfiguration=[Xe] 6s1 4f14 5d10|EK-Wiki=[Xe] 6s&lt;sup&gt;1&lt;/sup&gt; 4f&lt;sup&gt;1&lt;/sup&gt;4 5d&lt;sup&gt;10&lt;/sup&gt;|pre=Platin|next=Quecksilber|Metall=Metall|E-Name=Gold|L-Name=&lt;b&gt;&lt;i&gt;Au&lt;/b&gt;rum&lt;/i&gt;</v>
      </c>
      <c r="AQ80" s="27" t="str">
        <f t="shared" si="27"/>
        <v>|Verwendung=|Wortherkunft=Gold (von indogermanisch ''ghel'': glänzend, (gelb) ) ist ein chemisches Element und ein so genanntes Edelmetall, das chemische Kürzel Au für Gold ist auf die lateinische Bezeichnung ''Aurum'' zurückzuführen.|L-Abk. bzw. redirect=&lt;b&gt;{{PAGENAME}}&lt;/b&gt; ist das chemische Symbol für das [[PSE|Element]] &lt;b&gt;&amp;rarr; [[Gold]]&lt;/b&gt;, von lateinisch &lt;b&gt;&lt;i&gt;Au&lt;/b&gt;rum&lt;/i&gt;.
[[Kategorie:Chemie]][[Kategorie:Chemikalien]]|radioaktiv=|hoch=Silber|runter=Roentgenium|Bild-Element=|Bild-Verwendung=|www= ist seit dem Altertum bekannt.|E-Gruppe=|Sonstiges-kurz=|OZ3=079|WL=Sammlung|Text= }}
[[Kategorie:Chemie]][[Kategorie:Chemikalien]]</v>
      </c>
      <c r="AR80" s="31" t="e">
        <f t="shared" si="19"/>
        <v>#REF!</v>
      </c>
      <c r="AS80" t="str">
        <f t="shared" si="28"/>
        <v xml:space="preserve"> ist seit dem Altertum bekannt. http://www.webelements.com/webelements/elements/media/element-pics/Au.jpg</v>
      </c>
    </row>
    <row r="81" spans="1:45" ht="18" customHeight="1">
      <c r="A81">
        <v>80</v>
      </c>
      <c r="B81" t="s">
        <v>376</v>
      </c>
      <c r="C81" t="s">
        <v>377</v>
      </c>
      <c r="D81">
        <v>200.59</v>
      </c>
      <c r="E81">
        <v>1.9</v>
      </c>
      <c r="F81" s="36" t="s">
        <v>524</v>
      </c>
      <c r="G81" s="54" t="s">
        <v>525</v>
      </c>
      <c r="H81" s="42" t="s">
        <v>474</v>
      </c>
      <c r="I81" t="s">
        <v>812</v>
      </c>
      <c r="L81">
        <v>112</v>
      </c>
      <c r="M81" s="56" t="s">
        <v>1266</v>
      </c>
      <c r="N81" s="30">
        <v>1007.07</v>
      </c>
      <c r="O81" t="s">
        <v>378</v>
      </c>
      <c r="P81" s="30">
        <v>1809.69</v>
      </c>
      <c r="Q81">
        <v>4</v>
      </c>
      <c r="R81" s="30">
        <v>3299.82</v>
      </c>
      <c r="S81" t="s">
        <v>1033</v>
      </c>
      <c r="U81" t="s">
        <v>681</v>
      </c>
      <c r="V81" t="s">
        <v>782</v>
      </c>
      <c r="W81" t="str">
        <f t="shared" si="29"/>
        <v>Gold</v>
      </c>
      <c r="X81" t="str">
        <f t="shared" si="23"/>
        <v>Thallium</v>
      </c>
      <c r="Y81" t="s">
        <v>809</v>
      </c>
      <c r="Z81" s="16" t="s">
        <v>137</v>
      </c>
      <c r="AA81" s="35" t="s">
        <v>963</v>
      </c>
      <c r="AB81" s="16"/>
      <c r="AC81" s="27" t="s">
        <v>1045</v>
      </c>
      <c r="AD81" s="27" t="str">
        <f>CONCATENATE("&lt;b&gt;{{PAGENAME}}&lt;/b&gt; ist das chemische Symbol für das [[PSE|Element]] &lt;b&gt;&amp;rarr; [[",C81,"]]&lt;/b&gt;, von lat./griech. ",AA81,".
[[Kategorie:Chemie]][[Kategorie:Chemikalien]]")</f>
        <v>&lt;b&gt;{{PAGENAME}}&lt;/b&gt; ist das chemische Symbol für das [[PSE|Element]] &lt;b&gt;&amp;rarr; [[Quecksilber]]&lt;/b&gt;, von lat./griech. &lt;b&gt;&lt;i&gt;H&lt;/b&gt;ydrar&lt;/b&gt;g&lt;/b&gt;yrum&lt;/i&gt;.
[[Kategorie:Chemie]][[Kategorie:Chemikalien]]</v>
      </c>
      <c r="AE81" s="7"/>
      <c r="AF81" t="s">
        <v>106</v>
      </c>
      <c r="AG81" t="str">
        <f t="shared" si="18"/>
        <v>Copernicium</v>
      </c>
      <c r="AJ81" t="s">
        <v>965</v>
      </c>
      <c r="AM81" t="str">
        <f t="shared" si="31"/>
        <v>080</v>
      </c>
      <c r="AN81" t="s">
        <v>1041</v>
      </c>
      <c r="AO81" s="27" t="str">
        <f>CONCATENATE("{{Element|Ordnungszahl=",A81,"|Symbol=",B81,"|Name=",C81,"|Atommasse=",D81,"|EN=",E81,"|BP=",F81,"|MP=",G81,"|Dichte=",H81,"|Ionenradius=",L81,"|Ivolt=",N81,"|Aradius=",M81)</f>
        <v>{{Element|Ordnungszahl=80|Symbol=Hg|Name=Quecksilber|Atommasse=200,59|EN=1,9|BP=357 °C|MP=-39 °C|Dichte=13,55 g/cm³|Ionenradius=112|Ivolt=1007,07|Aradius=150 pm</v>
      </c>
      <c r="AP81" s="27" t="str">
        <f t="shared" si="26"/>
        <v>|Enthalpie=61.3|IVolt2=1809,69|Wert=4|IVolt3=3299,82|Farbe=silbrig|Flamme=|Elektronenkonfiguration=[Xe] 6s2 4f14 5d10|EK-Wiki=[Xe] 6s&lt;sup&gt;2&lt;/sup&gt; 4f&lt;sup&gt;1&lt;/sup&gt;4 5d&lt;sup&gt;10&lt;/sup&gt;|pre=Gold|next=Thallium|Metall=Metall|E-Name=Mercury|L-Name=&lt;b&gt;&lt;i&gt;H&lt;/b&gt;ydrar&lt;/b&gt;g&lt;/b&gt;yrum&lt;/i&gt;</v>
      </c>
      <c r="AQ81" s="27" t="str">
        <f t="shared" si="27"/>
        <v>|Verwendung=|Wortherkunft=Quecksilber bedeutet ursprünglich "lebendiges Silber" (althochdeutsch ''quecsilbar'' zu Germanische Sprachen|germanisch ''kwikw'' = ''lebendig''). Aufgrund seiner hohen Oberflächenspannung benetzt Quecksilber seine Unterlage nicht, sondern bildet abgeplattete einzelne Tröpfchen (Kohäsion). Das chemische Symbol des Quecksilbers ist '''Hg'''. Das ist die Abkürzung für ''hydrargyrum'', zusammengesetzt aus der Vorsilbe ''hydr-'' und ''argyron = Silber'', was aus dem Griechischen mit "flüssiges Silber" übersetzt werden kann.|L-Abk. bzw. redirect=&lt;b&gt;{{PAGENAME}}&lt;/b&gt; ist das chemische Symbol für das [[PSE|Element]] &lt;b&gt;&amp;rarr; [[Quecksilber]]&lt;/b&gt;, von lat./griech. &lt;b&gt;&lt;i&gt;H&lt;/b&gt;ydrar&lt;/b&gt;g&lt;/b&gt;yrum&lt;/i&gt;.
[[Kategorie:Chemie]][[Kategorie:Chemikalien]]|radioaktiv=|hoch=Cadmium|runter=Copernicium|Bild-Element=|Bild-Verwendung=|www= ist seit dem Altertum bekannt.|E-Gruppe=|Sonstiges-kurz=|OZ3=080|WL=Sammlung|Text= }}
[[Kategorie:Chemie]][[Kategorie:Chemikalien]]</v>
      </c>
      <c r="AR81" s="31" t="str">
        <f t="shared" si="19"/>
        <v>{{Element|Ordnungszahl=80|Symbol=Hg|Name=Quecksilber|Atommasse=200,59|EN=1,9|BP=357 °C|MP=-39 °C|Dichte=13,55 g/cm³|Ionenradius=112|Ivolt=1007,07|Aradius=150 pm|Enthalpie=61.3|IVolt2=1809,69|Wert=4|IVolt3=3299,82|Farbe=silbrig|Flamme=|Elektronenkonfiguration=[Xe] 6s2 4f14 5d10|EK-Wiki=[Xe] 6s&lt;sup&gt;2&lt;/sup&gt; 4f&lt;sup&gt;1&lt;/sup&gt;4 5d&lt;sup&gt;10&lt;/sup&gt;|pre=Gold|next=Thallium|Metall=Metall|E-Name=Mercury|L-Name=&lt;b&gt;&lt;i&gt;H&lt;/b&gt;ydrar&lt;/b&gt;g&lt;/b&gt;yrum&lt;/i&gt;|Verwendung=|Wortherkunft=Quecksilber bedeutet ursprünglich "lebendiges Silber" (althochdeutsch ''quecsilbar'' zu Germanische Sprachen|germanisch ''kwikw'' = ''lebendig''). Aufgrund seiner hohen Oberflächenspannung benetzt Quecksilber seine Unterlage nicht, sondern bildet abgeplattete einzelne Tröpfchen (Kohäsion). Das chemische Symbol des Quecksilbers ist '''Hg'''. Das ist die Abkürzung für ''hydrargyrum'', zusammengesetzt aus der Vorsilbe ''hydr-'' und ''argyron = Silber'', was aus dem Griechischen mit "flüssiges Silber" übersetzt werden kann.|L-Abk. bzw. redirect=&lt;b&gt;{{PAGENAME}}&lt;/b&gt; ist das chemische Symbol für das [[PSE|Element]] &lt;b&gt;&amp;rarr; [[Quecksilber]]&lt;/b&gt;, von lat./griech. &lt;b&gt;&lt;i&gt;H&lt;/b&gt;ydrar&lt;/b&gt;g&lt;/b&gt;yrum&lt;/i&gt;.
[[Kategorie:Chemie]][[Kategorie:Chemikalien]]|radioaktiv=|hoch=Cadmium|runter=Copernicium|Bild-Element=|Bild-Verwendung=|www= ist seit dem Altertum bekannt.|E-Gruppe=|Sonstiges-kurz=|OZ3=080|WL=Sammlung|Text= }}
[[Kategorie:Chemie]][[Kategorie:Chemikalien]]</v>
      </c>
      <c r="AS81" t="str">
        <f t="shared" si="28"/>
        <v xml:space="preserve"> ist seit dem Altertum bekannt. http://www.webelements.com/webelements/elements/media/element-pics/Hg.jpg</v>
      </c>
    </row>
    <row r="82" spans="1:45" ht="18" customHeight="1">
      <c r="A82">
        <v>81</v>
      </c>
      <c r="B82" t="s">
        <v>379</v>
      </c>
      <c r="C82" t="s">
        <v>380</v>
      </c>
      <c r="D82">
        <v>204.38</v>
      </c>
      <c r="E82">
        <v>1.8</v>
      </c>
      <c r="F82" s="36" t="s">
        <v>1070</v>
      </c>
      <c r="G82" s="54" t="s">
        <v>1162</v>
      </c>
      <c r="H82" s="42" t="s">
        <v>475</v>
      </c>
      <c r="I82">
        <v>1861</v>
      </c>
      <c r="J82" t="s">
        <v>238</v>
      </c>
      <c r="K82" t="s">
        <v>873</v>
      </c>
      <c r="L82">
        <v>105</v>
      </c>
      <c r="M82" s="56" t="s">
        <v>1287</v>
      </c>
      <c r="N82" s="30">
        <v>589.36</v>
      </c>
      <c r="O82" t="s">
        <v>381</v>
      </c>
      <c r="P82" s="30">
        <v>1971.02</v>
      </c>
      <c r="Q82">
        <v>6</v>
      </c>
      <c r="R82" s="30">
        <v>2878.18</v>
      </c>
      <c r="S82" t="s">
        <v>366</v>
      </c>
      <c r="T82" t="s">
        <v>382</v>
      </c>
      <c r="U82" t="s">
        <v>697</v>
      </c>
      <c r="V82" t="s">
        <v>783</v>
      </c>
      <c r="W82" t="str">
        <f t="shared" si="29"/>
        <v>Quecksilber</v>
      </c>
      <c r="X82" t="str">
        <f t="shared" si="23"/>
        <v>Blei</v>
      </c>
      <c r="Y82" t="s">
        <v>809</v>
      </c>
      <c r="Z82" s="16" t="s">
        <v>380</v>
      </c>
      <c r="AA82" s="35"/>
      <c r="AB82" s="16"/>
      <c r="AC82" s="27" t="s">
        <v>270</v>
      </c>
      <c r="AD82" s="27" t="str">
        <f>CONCATENATE("#REDIRECT [[",C82,"]]")</f>
        <v>#REDIRECT [[Thallium]]</v>
      </c>
      <c r="AE82" s="7"/>
      <c r="AF82" t="str">
        <f>C50</f>
        <v>Indium</v>
      </c>
      <c r="AG82" t="str">
        <f t="shared" si="18"/>
        <v xml:space="preserve">Ununtrium </v>
      </c>
      <c r="AJ82" t="str">
        <f t="shared" si="25"/>
        <v xml:space="preserve"> wurde 1861 in England durch Crokes entdeckt.</v>
      </c>
      <c r="AM82" t="str">
        <f t="shared" si="31"/>
        <v>081</v>
      </c>
      <c r="AN82" t="s">
        <v>1042</v>
      </c>
      <c r="AO82" s="27" t="e">
        <f>CONCATENATE("{{Element|Ordnungszahl=",A82,"|Symbol=",B82,"|Name=",C82,"|Atommasse=",#REF!,"|EN=",E82,"|BP=",F82,"|MP=",G82,"|Dichte=",H82,"|Ionenradius=",L82,"|Ivolt=",N82,"|Aradius=",M82)</f>
        <v>#REF!</v>
      </c>
      <c r="AP82" s="27" t="str">
        <f t="shared" si="26"/>
        <v>|Enthalpie=182.2|IVolt2=1971,02|Wert=6|IVolt3=2878,18|Farbe=blau-grau|Flamme=grün|Elektronenkonfiguration=[Xe] 6s2 4f14 5d10 6p1|EK-Wiki=[Xe] 6s&lt;sup&gt;2&lt;/sup&gt; 4f&lt;sup&gt;1&lt;/sup&gt;4 5d&lt;sup&gt;10&lt;/sup&gt; 6p&lt;sup&gt;1&lt;/sup&gt;|pre=Quecksilber|next=Blei|Metall=Metall|E-Name=Thallium|L-Name=</v>
      </c>
      <c r="AQ82" s="27" t="str">
        <f t="shared" si="27"/>
        <v>|Verwendung=|Wortherkunft=Thallium (griech. grüner Trieb oder grüner Spross, wegen seiner grünen Flammenfärbung) wurde spektroskopisch im Bleikammerschlamm einer Schwefelsäurefabrik anhand der charakteristischen grünen Spektrallinie entdeckt.|L-Abk. bzw. redirect=#REDIRECT [[Thallium]]|radioaktiv=|hoch=Indium|runter=Ununtrium |Bild-Element=|Bild-Verwendung=|www= wurde 1861 in England durch Crokes entdeckt.|E-Gruppe=|Sonstiges-kurz=|OZ3=081|WL=nichda|Text= }}
[[Kategorie:Chemie]][[Kategorie:Chemikalien]]</v>
      </c>
      <c r="AR82" s="31" t="e">
        <f t="shared" si="19"/>
        <v>#REF!</v>
      </c>
      <c r="AS82" t="str">
        <f t="shared" si="28"/>
        <v xml:space="preserve"> wurde 1861 in England durch Crokes entdeckt. http://www.webelements.com/webelements/elements/media/element-pics/Tl.jpg</v>
      </c>
    </row>
    <row r="83" spans="1:45" ht="18" customHeight="1">
      <c r="A83">
        <v>82</v>
      </c>
      <c r="B83" t="s">
        <v>383</v>
      </c>
      <c r="C83" t="s">
        <v>384</v>
      </c>
      <c r="D83">
        <v>207.2</v>
      </c>
      <c r="E83">
        <v>1.8</v>
      </c>
      <c r="F83" s="36" t="s">
        <v>1200</v>
      </c>
      <c r="G83" s="54" t="s">
        <v>526</v>
      </c>
      <c r="H83" s="42" t="s">
        <v>476</v>
      </c>
      <c r="I83" t="s">
        <v>812</v>
      </c>
      <c r="L83">
        <v>84</v>
      </c>
      <c r="M83" s="56" t="s">
        <v>1265</v>
      </c>
      <c r="N83" s="30">
        <v>715.6</v>
      </c>
      <c r="O83">
        <v>195</v>
      </c>
      <c r="P83" s="30">
        <v>1450.4</v>
      </c>
      <c r="Q83">
        <v>8</v>
      </c>
      <c r="R83" s="30">
        <v>3081.5</v>
      </c>
      <c r="S83" t="s">
        <v>52</v>
      </c>
      <c r="U83" t="s">
        <v>698</v>
      </c>
      <c r="V83" t="s">
        <v>784</v>
      </c>
      <c r="W83" t="str">
        <f t="shared" si="29"/>
        <v>Thallium</v>
      </c>
      <c r="X83" t="str">
        <f t="shared" si="23"/>
        <v>Bismut</v>
      </c>
      <c r="Y83" t="s">
        <v>809</v>
      </c>
      <c r="Z83" s="16" t="s">
        <v>138</v>
      </c>
      <c r="AA83" s="35" t="s">
        <v>964</v>
      </c>
      <c r="AB83" s="16"/>
      <c r="AC83" s="27" t="s">
        <v>1051</v>
      </c>
      <c r="AD83" s="27" t="str">
        <f>CONCATENATE("&lt;b&gt;{{PAGENAME}}&lt;/b&gt; ist das chemische Symbol für das [[PSE|Element]] &lt;b&gt;&amp;rarr; [[",C83,"]]&lt;/b&gt;, von lateinisch ",AA83,".
[[Kategorie:Chemie]][[Kategorie:Chemikalien]]")</f>
        <v>&lt;b&gt;{{PAGENAME}}&lt;/b&gt; ist das chemische Symbol für das [[PSE|Element]] &lt;b&gt;&amp;rarr; [[Blei]]&lt;/b&gt;, von lateinisch &lt;b&gt;&lt;i&gt;P&lt;/b&gt;lum&lt;/b&gt;b&lt;/b&gt;um&lt;/i&gt;.
[[Kategorie:Chemie]][[Kategorie:Chemikalien]]</v>
      </c>
      <c r="AE83" s="7"/>
      <c r="AF83" t="s">
        <v>112</v>
      </c>
      <c r="AG83" t="str">
        <f t="shared" si="18"/>
        <v>Flerovium</v>
      </c>
      <c r="AJ83" t="s">
        <v>965</v>
      </c>
      <c r="AM83" t="str">
        <f t="shared" si="31"/>
        <v>082</v>
      </c>
      <c r="AN83" t="s">
        <v>1041</v>
      </c>
      <c r="AO83" s="27" t="e">
        <f>CONCATENATE("{{Element|Ordnungszahl=",A83,"|Symbol=",B83,"|Name=",C83,"|Atommasse=",#REF!,"|EN=",E83,"|BP=",F83,"|MP=",G83,"|Dichte=",H83,"|Ionenradius=",L83,"|Ivolt=",N83,"|Aradius=",M83)</f>
        <v>#REF!</v>
      </c>
      <c r="AP83" s="27" t="str">
        <f t="shared" si="26"/>
        <v>|Enthalpie=195|IVolt2=1450,4|Wert=8|IVolt3=3081,5|Farbe=blau-weiß|Flamme=|Elektronenkonfiguration=[Xe] 6s2 4f14 5d10 6p2|EK-Wiki=[Xe] 6s&lt;sup&gt;2&lt;/sup&gt; 4f&lt;sup&gt;1&lt;/sup&gt;4 5d&lt;sup&gt;10&lt;/sup&gt; 6p&lt;sup&gt;2&lt;/sup&gt;|pre=Thallium|next=Bismut|Metall=Metall|E-Name=Lead|L-Name=&lt;b&gt;&lt;i&gt;P&lt;/b&gt;lum&lt;/b&gt;b&lt;/b&gt;um&lt;/i&gt;</v>
      </c>
      <c r="AQ83" s="27" t="str">
        <f t="shared" si="27"/>
        <v>|Verwendung=|Wortherkunft=Blei (lat. plumbum, von plumbeus: bleiern, stumpf, bleischwer) ist ein chemisches Element. Chemisches Symbol: Pb. Der Name Blei ist indogermanischen Ursprungs und bedeutet soviel wie schimmernd, leuchtend oder glänzend. |L-Abk. bzw. redirect=&lt;b&gt;{{PAGENAME}}&lt;/b&gt; ist das chemische Symbol für das [[PSE|Element]] &lt;b&gt;&amp;rarr; [[Blei]]&lt;/b&gt;, von lateinisch &lt;b&gt;&lt;i&gt;P&lt;/b&gt;lum&lt;/b&gt;b&lt;/b&gt;um&lt;/i&gt;.
[[Kategorie:Chemie]][[Kategorie:Chemikalien]]|radioaktiv=|hoch=Zinn|runter=Flerovium|Bild-Element=|Bild-Verwendung=|www= ist seit dem Altertum bekannt.|E-Gruppe=|Sonstiges-kurz=|OZ3=082|WL=Sammlung|Text= }}
[[Kategorie:Chemie]][[Kategorie:Chemikalien]]</v>
      </c>
      <c r="AR83" s="31" t="e">
        <f t="shared" si="19"/>
        <v>#REF!</v>
      </c>
      <c r="AS83" t="str">
        <f t="shared" si="28"/>
        <v xml:space="preserve"> ist seit dem Altertum bekannt. http://www.webelements.com/webelements/elements/media/element-pics/Pb.jpg</v>
      </c>
    </row>
    <row r="84" spans="1:45" ht="18" customHeight="1">
      <c r="A84">
        <v>83</v>
      </c>
      <c r="B84" t="s">
        <v>385</v>
      </c>
      <c r="C84" t="s">
        <v>386</v>
      </c>
      <c r="D84">
        <v>208.98</v>
      </c>
      <c r="E84">
        <v>1.9</v>
      </c>
      <c r="F84" s="36" t="s">
        <v>1095</v>
      </c>
      <c r="G84" s="54" t="s">
        <v>527</v>
      </c>
      <c r="H84" t="s">
        <v>1107</v>
      </c>
      <c r="K84" t="s">
        <v>926</v>
      </c>
      <c r="L84">
        <v>74</v>
      </c>
      <c r="M84" s="56" t="s">
        <v>1272</v>
      </c>
      <c r="N84" s="30">
        <v>702.96</v>
      </c>
      <c r="O84" t="s">
        <v>387</v>
      </c>
      <c r="P84" s="30">
        <v>1610.35</v>
      </c>
      <c r="Q84">
        <v>7</v>
      </c>
      <c r="R84" s="30">
        <v>2466.1799999999998</v>
      </c>
      <c r="S84" t="s">
        <v>388</v>
      </c>
      <c r="U84" t="s">
        <v>699</v>
      </c>
      <c r="V84" t="s">
        <v>785</v>
      </c>
      <c r="W84" t="str">
        <f t="shared" si="29"/>
        <v>Blei</v>
      </c>
      <c r="X84" t="str">
        <f t="shared" si="23"/>
        <v>Polonium</v>
      </c>
      <c r="Y84" t="s">
        <v>809</v>
      </c>
      <c r="Z84" s="16" t="s">
        <v>833</v>
      </c>
      <c r="AA84" s="35"/>
      <c r="AB84" s="16"/>
      <c r="AC84" s="27" t="s">
        <v>1013</v>
      </c>
      <c r="AD84" s="27" t="str">
        <f>CONCATENATE("#REDIRECT [[",C84,"]]")</f>
        <v>#REDIRECT [[Bismut]]</v>
      </c>
      <c r="AE84" s="7"/>
      <c r="AF84" t="s">
        <v>115</v>
      </c>
      <c r="AG84" t="str">
        <f t="shared" si="18"/>
        <v>Ununpentium</v>
      </c>
      <c r="AJ84" t="str">
        <f t="shared" si="25"/>
        <v xml:space="preserve"> wurde  in Deutschland durch  entdeckt.</v>
      </c>
      <c r="AM84" t="str">
        <f t="shared" si="31"/>
        <v>083</v>
      </c>
      <c r="AN84" t="s">
        <v>1041</v>
      </c>
      <c r="AO84" s="27" t="e">
        <f>CONCATENATE("{{Element|Ordnungszahl=",A84,"|Symbol=",B84,"|Name=",C84,"|Atommasse=",#REF!,"|EN=",E84,"|BP=",F84,"|MP=",G84,"|Dichte=",H84,"|Ionenradius=",L84,"|Ivolt=",N84,"|Aradius=",M84)</f>
        <v>#REF!</v>
      </c>
      <c r="AP84" s="27" t="str">
        <f t="shared" si="26"/>
        <v>|Enthalpie=207.1|IVolt2=1610,35|Wert=7|IVolt3=2466,18|Farbe=weiß-rosa|Flamme=|Elektronenkonfiguration=[Xe] 6s2 4f14 5d10 6p3|EK-Wiki=[Xe] 6s&lt;sup&gt;2&lt;/sup&gt; 4f&lt;sup&gt;1&lt;/sup&gt;4 5d&lt;sup&gt;10&lt;/sup&gt; 6p&lt;sup&gt;3&lt;/sup&gt;|pre=Blei|next=Polonium|Metall=Metall|E-Name=Bismuth|L-Name=</v>
      </c>
      <c r="AQ84" s="27" t="str">
        <f t="shared" si="27"/>
        <v>|Verwendung=|Wortherkunft=Das Element Bismut kennt man wahrscheinlich schon seit der Antike. Der Name ''Wismut'' ist seit 1472 bekannt und geht vermutlich auf den ersten Ort der Gewinnung "in den Wiesen" am Schneeberg im Erzgebirge zurück. Es gibt jedoch auch andere Etymologien, beispielsweise von "weiß". Georgius Agricola benutzte die latinisierte Bezeichnung ''bismutum'', worauf der heutige Name zurückgeht.|L-Abk. bzw. redirect=#REDIRECT [[Bismut]]|radioaktiv=|hoch=Antimon|runter=Ununpentium|Bild-Element=|Bild-Verwendung=|www= wurde  in Deutschland durch  entdeckt.|E-Gruppe=|Sonstiges-kurz=|OZ3=083|WL=Sammlung|Text= }}
[[Kategorie:Chemie]][[Kategorie:Chemikalien]]</v>
      </c>
      <c r="AR84" s="31" t="e">
        <f t="shared" si="19"/>
        <v>#REF!</v>
      </c>
      <c r="AS84" t="str">
        <f t="shared" si="28"/>
        <v xml:space="preserve"> wurde  in Deutschland durch  entdeckt. http://www.webelements.com/webelements/elements/media/element-pics/Bi.jpg</v>
      </c>
    </row>
    <row r="85" spans="1:45" ht="18" customHeight="1">
      <c r="A85">
        <v>84</v>
      </c>
      <c r="B85" t="s">
        <v>389</v>
      </c>
      <c r="C85" t="s">
        <v>390</v>
      </c>
      <c r="D85">
        <v>209</v>
      </c>
      <c r="E85">
        <v>2</v>
      </c>
      <c r="F85" s="36" t="s">
        <v>528</v>
      </c>
      <c r="G85" s="54" t="s">
        <v>529</v>
      </c>
      <c r="H85" s="42" t="s">
        <v>1212</v>
      </c>
      <c r="I85">
        <v>1898</v>
      </c>
      <c r="J85" t="s">
        <v>173</v>
      </c>
      <c r="K85" t="s">
        <v>886</v>
      </c>
      <c r="L85">
        <v>65</v>
      </c>
      <c r="M85" s="56" t="s">
        <v>1287</v>
      </c>
      <c r="N85" s="30">
        <v>812.09</v>
      </c>
      <c r="O85">
        <v>146</v>
      </c>
      <c r="P85" s="30" t="s">
        <v>874</v>
      </c>
      <c r="Q85">
        <v>6</v>
      </c>
      <c r="R85" s="30" t="s">
        <v>874</v>
      </c>
      <c r="S85" t="s">
        <v>1039</v>
      </c>
      <c r="U85" t="s">
        <v>700</v>
      </c>
      <c r="V85" t="s">
        <v>786</v>
      </c>
      <c r="W85" t="str">
        <f t="shared" si="29"/>
        <v>Bismut</v>
      </c>
      <c r="X85" t="str">
        <f t="shared" si="23"/>
        <v>Astat</v>
      </c>
      <c r="Y85" t="s">
        <v>809</v>
      </c>
      <c r="Z85" s="16" t="s">
        <v>390</v>
      </c>
      <c r="AA85" s="35"/>
      <c r="AB85" s="16"/>
      <c r="AC85" s="27" t="s">
        <v>1052</v>
      </c>
      <c r="AD85" s="27" t="str">
        <f>CONCATENATE("#REDIRECT [[",C85,"]]")</f>
        <v>#REDIRECT [[Polonium]]</v>
      </c>
      <c r="AE85" s="7" t="s">
        <v>167</v>
      </c>
      <c r="AF85" t="s">
        <v>118</v>
      </c>
      <c r="AG85" t="str">
        <f t="shared" si="18"/>
        <v>Livermorium</v>
      </c>
      <c r="AJ85" t="str">
        <f t="shared" si="25"/>
        <v xml:space="preserve"> wurde 1898 in Frankreich durch Curie entdeckt.</v>
      </c>
      <c r="AM85" t="str">
        <f t="shared" si="31"/>
        <v>084</v>
      </c>
      <c r="AN85" t="s">
        <v>1042</v>
      </c>
      <c r="AO85" s="27" t="e">
        <f>CONCATENATE("{{Element|Ordnungszahl=",A85,"|Symbol=",B85,"|Name=",C85,"|Atommasse=",#REF!,"|EN=",E85,"|BP=",F85,"|MP=",G85,"|Dichte=",H85,"|Ionenradius=",L85,"|Ivolt=",N85,"|Aradius=",M85)</f>
        <v>#REF!</v>
      </c>
      <c r="AP85" s="27" t="str">
        <f t="shared" si="26"/>
        <v>|Enthalpie=146|IVolt2=-|Wert=6|IVolt3=-|Farbe=silbrigweiß glänzend|Flamme=|Elektronenkonfiguration=[Xe] 6s2 4f14 5d10 6p4|EK-Wiki=[Xe] 6s&lt;sup&gt;2&lt;/sup&gt; 4f&lt;sup&gt;1&lt;/sup&gt;4 5d&lt;sup&gt;10&lt;/sup&gt; 6p&lt;sup&gt;4&lt;/sup&gt;|pre=Bismut|next=Astat|Metall=Metall|E-Name=Polonium|L-Name=</v>
      </c>
      <c r="AQ85" s="27" t="str">
        <f t="shared" si="27"/>
        <v>|Verwendung=|Wortherkunft=Polonium wurde 1898 von Marie und Pierre Curie entdeckt. Den Namen gab Marie Curie dem Element zu Ehren ihres Heimatlandes Polen.|L-Abk. bzw. redirect=#REDIRECT [[Polonium]]|radioaktiv=[[radioaktiv]]es&amp;nbsp;|hoch=Tellur|runter=Livermorium|Bild-Element=|Bild-Verwendung=|www= wurde 1898 in Frankreich durch Curie entdeckt.|E-Gruppe=|Sonstiges-kurz=|OZ3=084|WL=nichda|Text= }}
[[Kategorie:Chemie]][[Kategorie:Chemikalien]]</v>
      </c>
      <c r="AR85" s="31" t="e">
        <f t="shared" si="19"/>
        <v>#REF!</v>
      </c>
      <c r="AS85" t="str">
        <f t="shared" si="28"/>
        <v xml:space="preserve"> wurde 1898 in Frankreich durch Curie entdeckt. http://www.webelements.com/webelements/elements/media/element-pics/Po.jpg</v>
      </c>
    </row>
    <row r="86" spans="1:45" ht="18" customHeight="1">
      <c r="A86">
        <v>85</v>
      </c>
      <c r="B86" t="s">
        <v>391</v>
      </c>
      <c r="C86" t="s">
        <v>392</v>
      </c>
      <c r="D86">
        <v>210</v>
      </c>
      <c r="E86">
        <v>2.2000000000000002</v>
      </c>
      <c r="F86" s="36" t="s">
        <v>530</v>
      </c>
      <c r="G86" s="54" t="s">
        <v>531</v>
      </c>
      <c r="H86" s="42" t="s">
        <v>1213</v>
      </c>
      <c r="I86">
        <v>1940</v>
      </c>
      <c r="J86" t="s">
        <v>174</v>
      </c>
      <c r="K86" t="s">
        <v>320</v>
      </c>
      <c r="L86">
        <v>227</v>
      </c>
      <c r="M86" s="56" t="s">
        <v>1288</v>
      </c>
      <c r="N86" s="30" t="s">
        <v>874</v>
      </c>
      <c r="O86">
        <v>0</v>
      </c>
      <c r="P86" s="30" t="s">
        <v>874</v>
      </c>
      <c r="Q86">
        <v>2</v>
      </c>
      <c r="R86" s="30" t="s">
        <v>874</v>
      </c>
      <c r="S86" t="s">
        <v>1031</v>
      </c>
      <c r="U86" t="s">
        <v>701</v>
      </c>
      <c r="V86" t="s">
        <v>787</v>
      </c>
      <c r="W86" t="str">
        <f t="shared" si="29"/>
        <v>Polonium</v>
      </c>
      <c r="X86" t="str">
        <f t="shared" si="23"/>
        <v>Radon</v>
      </c>
      <c r="Y86" t="s">
        <v>811</v>
      </c>
      <c r="Z86" s="16" t="s">
        <v>830</v>
      </c>
      <c r="AA86" s="35"/>
      <c r="AB86" s="16"/>
      <c r="AC86" s="27" t="s">
        <v>1011</v>
      </c>
      <c r="AD86" s="27" t="str">
        <f>CONCATENATE("#REDIRECT [[",C86,"]]")</f>
        <v>#REDIRECT [[Astat]]</v>
      </c>
      <c r="AE86" s="7" t="s">
        <v>167</v>
      </c>
      <c r="AF86" t="s">
        <v>121</v>
      </c>
      <c r="AG86" t="str">
        <f t="shared" si="18"/>
        <v>Ununseptium</v>
      </c>
      <c r="AJ86" t="str">
        <f t="shared" si="25"/>
        <v xml:space="preserve"> wurde 1940 in USA durch Corson, Mackenzie entdeckt.</v>
      </c>
      <c r="AM86" t="str">
        <f t="shared" si="31"/>
        <v>085</v>
      </c>
      <c r="AN86" t="s">
        <v>1042</v>
      </c>
      <c r="AO86" s="27" t="e">
        <f>CONCATENATE("{{Element|Ordnungszahl=",A86,"|Symbol=",B86,"|Name=",C86,"|Atommasse=",#REF!,"|EN=",E86,"|BP=",F86,"|MP=",G86,"|Dichte=",H86,"|Ionenradius=",L86,"|Ivolt=",N86,"|Aradius=",M86)</f>
        <v>#REF!</v>
      </c>
      <c r="AP86" s="27" t="str">
        <f t="shared" si="26"/>
        <v>|Enthalpie=0|IVolt2=-|Wert=2|IVolt3=-|Farbe=metallisch glänzend|Flamme=|Elektronenkonfiguration=[Xe] 6s2 4f14 5d10 6p5|EK-Wiki=[Xe] 6s&lt;sup&gt;2&lt;/sup&gt; 4f&lt;sup&gt;1&lt;/sup&gt;4 5d&lt;sup&gt;10&lt;/sup&gt; 6p&lt;sup&gt;5&lt;/sup&gt;|pre=Polonium|next=Radon|Metall=Halbmetall|E-Name=Astatine|L-Name=</v>
      </c>
      <c r="AQ86" s="27" t="str">
        <f t="shared" si="27"/>
        <v>|Verwendung=|Wortherkunft=Astat (altgriechisch αστατεω = unbeständig, wegen des radioaktiven Zerfalls von Astat) wurde zuerst 1940 von Dale Corson, Kenneth MacKenzie und Emilio Segrè in der University of California künstlich hergestellt, und zwar durch Beschuss von Bismut mit Alphateilchen.|L-Abk. bzw. redirect=#REDIRECT [[Astat]]|radioaktiv=[[radioaktiv]]es&amp;nbsp;|hoch=Iod|runter=Ununseptium|Bild-Element=|Bild-Verwendung=|www= wurde 1940 in USA durch Corson, Mackenzie entdeckt.|E-Gruppe=|Sonstiges-kurz=|OZ3=085|WL=nichda|Text= }}
[[Kategorie:Chemie]][[Kategorie:Chemikalien]]</v>
      </c>
      <c r="AR86" s="31" t="e">
        <f t="shared" si="19"/>
        <v>#REF!</v>
      </c>
      <c r="AS86" t="str">
        <f t="shared" si="28"/>
        <v xml:space="preserve"> wurde 1940 in USA durch Corson, Mackenzie entdeckt. http://www.webelements.com/webelements/elements/media/element-pics/At.jpg</v>
      </c>
    </row>
    <row r="87" spans="1:45" ht="18" customHeight="1">
      <c r="A87">
        <v>86</v>
      </c>
      <c r="B87" t="s">
        <v>393</v>
      </c>
      <c r="C87" t="s">
        <v>394</v>
      </c>
      <c r="D87">
        <v>222</v>
      </c>
      <c r="E87">
        <v>0</v>
      </c>
      <c r="F87" s="36" t="s">
        <v>532</v>
      </c>
      <c r="G87" s="54" t="s">
        <v>533</v>
      </c>
      <c r="H87" s="42" t="s">
        <v>1254</v>
      </c>
      <c r="I87" t="s">
        <v>175</v>
      </c>
      <c r="J87" t="s">
        <v>926</v>
      </c>
      <c r="K87" t="s">
        <v>874</v>
      </c>
      <c r="L87" t="s">
        <v>874</v>
      </c>
      <c r="M87" s="56" t="s">
        <v>1266</v>
      </c>
      <c r="O87" s="30" t="s">
        <v>874</v>
      </c>
      <c r="P87" t="s">
        <v>874</v>
      </c>
      <c r="Q87" s="30" t="s">
        <v>874</v>
      </c>
      <c r="R87" t="s">
        <v>875</v>
      </c>
      <c r="T87" t="s">
        <v>702</v>
      </c>
      <c r="U87" t="s">
        <v>788</v>
      </c>
      <c r="V87" t="str">
        <f>C86</f>
        <v>Astat</v>
      </c>
      <c r="W87" t="str">
        <f>C88</f>
        <v>Francium</v>
      </c>
      <c r="X87" t="s">
        <v>810</v>
      </c>
      <c r="Y87" s="16" t="s">
        <v>394</v>
      </c>
      <c r="Z87" s="35"/>
      <c r="AA87" s="16"/>
      <c r="AB87" s="27" t="s">
        <v>271</v>
      </c>
      <c r="AC87" s="27" t="str">
        <f>CONCATENATE("#REDIRECT [[",C87,"]]")</f>
        <v>#REDIRECT [[Radon]]</v>
      </c>
      <c r="AD87" s="7" t="s">
        <v>167</v>
      </c>
      <c r="AE87" t="s">
        <v>125</v>
      </c>
      <c r="AF87" t="str">
        <f t="shared" ref="AF87" si="32">C119</f>
        <v>Ununoctium</v>
      </c>
      <c r="AI87" t="e">
        <f>CONCATENATE(" wurde ",#REF!," in ",J87," durch ",I87," entdeckt.")</f>
        <v>#REF!</v>
      </c>
      <c r="AL87" t="str">
        <f>CONCATENATE("0",A87,)</f>
        <v>086</v>
      </c>
      <c r="AM87" t="s">
        <v>1042</v>
      </c>
      <c r="AN87" s="27" t="e">
        <f>CONCATENATE("{{Element|Ordnungszahl=",A87,"|Symbol=",B87,"|Name=",C87,"|Atommasse=",#REF!,"|EN=",E87,"|BP=",F87,"|MP=",G87,"|Dichte=",H87,"|Ionenradius=",K87,"|Ivolt=",M87,"|Aradius=",L87)</f>
        <v>#REF!</v>
      </c>
      <c r="AO87" s="27" t="e">
        <f>CONCATENATE("|Enthalpie=",#REF!,"|IVolt2=",O87,"|Wert=",P87,"|IVolt3=",Q87,"|Farbe=",R87,"|Flamme=",S87,"|Elektronenkonfiguration=",T87,"|EK-Wiki=",U87,"|pre=",V87,"|next=",W87,"|Metall=",X87,"|E-Name=",Y87,"|L-Name=",Z87)</f>
        <v>#REF!</v>
      </c>
      <c r="AP87" s="27" t="e">
        <f t="shared" si="27"/>
        <v>#REF!</v>
      </c>
      <c r="AQ87" s="31" t="e">
        <f t="shared" si="19"/>
        <v>#REF!</v>
      </c>
      <c r="AR87" t="e">
        <f t="shared" ref="AR87:AR119" si="33">CONCATENATE(AI87," http://www.webelements.com/webelements/elements/media/element-pics/",B87,".jpg")</f>
        <v>#REF!</v>
      </c>
    </row>
    <row r="88" spans="1:45" ht="18" customHeight="1">
      <c r="A88">
        <v>87</v>
      </c>
      <c r="B88" t="s">
        <v>395</v>
      </c>
      <c r="C88" t="s">
        <v>396</v>
      </c>
      <c r="D88">
        <v>223</v>
      </c>
      <c r="E88">
        <v>0.7</v>
      </c>
      <c r="F88" s="36" t="s">
        <v>1201</v>
      </c>
      <c r="G88" s="54" t="s">
        <v>534</v>
      </c>
      <c r="H88" s="42" t="s">
        <v>821</v>
      </c>
      <c r="I88" t="s">
        <v>176</v>
      </c>
      <c r="J88" t="s">
        <v>886</v>
      </c>
      <c r="L88">
        <v>270</v>
      </c>
      <c r="M88" s="56" t="s">
        <v>1289</v>
      </c>
      <c r="O88" s="30" t="s">
        <v>874</v>
      </c>
      <c r="P88">
        <v>1</v>
      </c>
      <c r="Q88" s="30" t="s">
        <v>874</v>
      </c>
      <c r="R88" t="s">
        <v>1032</v>
      </c>
      <c r="T88" t="s">
        <v>640</v>
      </c>
      <c r="U88" t="s">
        <v>709</v>
      </c>
      <c r="V88" t="str">
        <f t="shared" ref="V88:V99" si="34">C87</f>
        <v>Radon</v>
      </c>
      <c r="W88" t="str">
        <f t="shared" ref="W88:W107" si="35">C89</f>
        <v>Radium</v>
      </c>
      <c r="X88" t="s">
        <v>809</v>
      </c>
      <c r="Y88" s="16" t="s">
        <v>396</v>
      </c>
      <c r="Z88" s="35"/>
      <c r="AA88" s="16"/>
      <c r="AB88" s="28" t="s">
        <v>272</v>
      </c>
      <c r="AC88" s="27" t="str">
        <f t="shared" ref="AC88:AC107" si="36">CONCATENATE("#REDIRECT [[",C88,"]]")</f>
        <v>#REDIRECT [[Francium]]</v>
      </c>
      <c r="AD88" s="7" t="s">
        <v>167</v>
      </c>
      <c r="AE88" t="s">
        <v>598</v>
      </c>
      <c r="AF88" t="str">
        <f>C88</f>
        <v>Francium</v>
      </c>
      <c r="AI88" t="e">
        <f>CONCATENATE(" wurde ",#REF!," in ",J88," durch ",I88," entdeckt.")</f>
        <v>#REF!</v>
      </c>
      <c r="AL88" t="str">
        <f t="shared" ref="AL88:AL100" si="37">CONCATENATE("0",A88,)</f>
        <v>087</v>
      </c>
      <c r="AM88" t="s">
        <v>1042</v>
      </c>
      <c r="AN88" s="27" t="e">
        <f>CONCATENATE("{{Element|Ordnungszahl=",A88,"|Symbol=",B88,"|Name=",C88,"|Atommasse=",#REF!,"|EN=",E88,"|BP=",F88,"|MP=",G88,"|Dichte=",H88,"|Ionenradius=",K88,"|Ivolt=",M88,"|Aradius=",L88)</f>
        <v>#REF!</v>
      </c>
      <c r="AO88" s="27" t="e">
        <f>CONCATENATE("|Enthalpie=",#REF!,"|IVolt2=",O88,"|Wert=",P88,"|IVolt3=",Q88,"|Farbe=",R88,"|Flamme=",S88,"|Elektronenkonfiguration=",T88,"|EK-Wiki=",U88,"|pre=",V88,"|next=",W88,"|Metall=",X88,"|E-Name=",Y88,"|L-Name=",Z88)</f>
        <v>#REF!</v>
      </c>
      <c r="AP88" s="27" t="e">
        <f t="shared" si="27"/>
        <v>#REF!</v>
      </c>
      <c r="AQ88" s="31" t="e">
        <f t="shared" si="19"/>
        <v>#REF!</v>
      </c>
      <c r="AR88" t="e">
        <f t="shared" si="33"/>
        <v>#REF!</v>
      </c>
    </row>
    <row r="89" spans="1:45" ht="18" customHeight="1">
      <c r="A89">
        <v>88</v>
      </c>
      <c r="B89" t="s">
        <v>397</v>
      </c>
      <c r="C89" t="s">
        <v>398</v>
      </c>
      <c r="D89">
        <v>226</v>
      </c>
      <c r="E89">
        <v>0.9</v>
      </c>
      <c r="F89" s="36" t="s">
        <v>1202</v>
      </c>
      <c r="G89" s="54" t="s">
        <v>535</v>
      </c>
      <c r="H89" t="s">
        <v>1240</v>
      </c>
      <c r="I89" t="s">
        <v>173</v>
      </c>
      <c r="J89" t="s">
        <v>886</v>
      </c>
      <c r="L89">
        <v>223</v>
      </c>
      <c r="M89" s="56" t="s">
        <v>1282</v>
      </c>
      <c r="O89" s="30">
        <v>979.06</v>
      </c>
      <c r="P89">
        <v>2</v>
      </c>
      <c r="Q89" s="30" t="s">
        <v>874</v>
      </c>
      <c r="R89" t="s">
        <v>1035</v>
      </c>
      <c r="S89" t="s">
        <v>75</v>
      </c>
      <c r="T89" t="s">
        <v>641</v>
      </c>
      <c r="U89" t="s">
        <v>718</v>
      </c>
      <c r="V89" t="str">
        <f t="shared" si="34"/>
        <v>Francium</v>
      </c>
      <c r="W89" t="str">
        <f t="shared" si="35"/>
        <v>Actinium</v>
      </c>
      <c r="X89" t="s">
        <v>809</v>
      </c>
      <c r="Y89" s="16" t="s">
        <v>398</v>
      </c>
      <c r="Z89" s="35"/>
      <c r="AA89" s="16"/>
      <c r="AB89" s="27" t="s">
        <v>273</v>
      </c>
      <c r="AC89" s="27" t="str">
        <f t="shared" si="36"/>
        <v>#REDIRECT [[Radium]]</v>
      </c>
      <c r="AD89" s="7" t="s">
        <v>167</v>
      </c>
      <c r="AE89" t="s">
        <v>130</v>
      </c>
      <c r="AF89" t="str">
        <f t="shared" ref="AF89:AF119" si="38">C89</f>
        <v>Radium</v>
      </c>
      <c r="AI89" t="e">
        <f>CONCATENATE(" wurde ",#REF!," in ",J89," durch ",I89," entdeckt.")</f>
        <v>#REF!</v>
      </c>
      <c r="AL89" t="str">
        <f t="shared" si="37"/>
        <v>088</v>
      </c>
      <c r="AM89" t="s">
        <v>1042</v>
      </c>
      <c r="AN89" s="27" t="e">
        <f>CONCATENATE("{{Element|Ordnungszahl=",A89,"|Symbol=",B89,"|Name=",C89,"|Atommasse=",#REF!,"|EN=",E89,"|BP=",F89,"|MP=",G89,"|Dichte=",H89,"|Ionenradius=",K89,"|Ivolt=",M89,"|Aradius=",L89)</f>
        <v>#REF!</v>
      </c>
      <c r="AO89" s="27" t="e">
        <f>CONCATENATE("|Enthalpie=",#REF!,"|IVolt2=",O89,"|Wert=",P89,"|IVolt3=",Q89,"|Farbe=",R89,"|Flamme=",S89,"|Elektronenkonfiguration=",T89,"|EK-Wiki=",U89,"|pre=",V89,"|next=",W89,"|Metall=",X89,"|E-Name=",Y89,"|L-Name=",Z89)</f>
        <v>#REF!</v>
      </c>
      <c r="AP89" s="27" t="e">
        <f t="shared" si="27"/>
        <v>#REF!</v>
      </c>
      <c r="AQ89" s="31" t="e">
        <f t="shared" si="19"/>
        <v>#REF!</v>
      </c>
      <c r="AR89" t="e">
        <f t="shared" si="33"/>
        <v>#REF!</v>
      </c>
    </row>
    <row r="90" spans="1:45" ht="18" customHeight="1">
      <c r="A90">
        <v>89</v>
      </c>
      <c r="B90" t="s">
        <v>399</v>
      </c>
      <c r="C90" t="s">
        <v>400</v>
      </c>
      <c r="D90">
        <v>227</v>
      </c>
      <c r="E90">
        <v>1.1000000000000001</v>
      </c>
      <c r="F90" s="36" t="s">
        <v>1203</v>
      </c>
      <c r="G90" s="54" t="s">
        <v>1073</v>
      </c>
      <c r="H90" s="42" t="s">
        <v>478</v>
      </c>
      <c r="I90" t="s">
        <v>177</v>
      </c>
      <c r="J90" t="s">
        <v>886</v>
      </c>
      <c r="L90">
        <v>187.8</v>
      </c>
      <c r="M90" s="56" t="s">
        <v>1283</v>
      </c>
      <c r="O90" s="30">
        <v>1167.48</v>
      </c>
      <c r="P90">
        <v>3</v>
      </c>
      <c r="Q90" s="30" t="s">
        <v>874</v>
      </c>
      <c r="R90" t="s">
        <v>1035</v>
      </c>
      <c r="T90" t="s">
        <v>690</v>
      </c>
      <c r="U90" t="s">
        <v>734</v>
      </c>
      <c r="V90" t="str">
        <f t="shared" si="34"/>
        <v>Radium</v>
      </c>
      <c r="W90" t="str">
        <f t="shared" si="35"/>
        <v>Thorium</v>
      </c>
      <c r="X90" t="s">
        <v>809</v>
      </c>
      <c r="Y90" s="16" t="s">
        <v>400</v>
      </c>
      <c r="Z90" s="35"/>
      <c r="AA90" s="16"/>
      <c r="AB90" s="27" t="s">
        <v>274</v>
      </c>
      <c r="AC90" s="27" t="str">
        <f t="shared" si="36"/>
        <v>#REDIRECT [[Actinium]]</v>
      </c>
      <c r="AD90" s="7" t="s">
        <v>167</v>
      </c>
      <c r="AE90" t="s">
        <v>308</v>
      </c>
      <c r="AF90" t="str">
        <f t="shared" si="38"/>
        <v>Actinium</v>
      </c>
      <c r="AI90" t="e">
        <f>CONCATENATE(" wurde ",#REF!," in ",J90," durch ",I90," entdeckt.")</f>
        <v>#REF!</v>
      </c>
      <c r="AL90" t="str">
        <f t="shared" si="37"/>
        <v>089</v>
      </c>
      <c r="AM90" t="s">
        <v>1042</v>
      </c>
      <c r="AN90" s="27" t="e">
        <f>CONCATENATE("{{Element|Ordnungszahl=",A90,"|Symbol=",B90,"|Name=",C90,"|Atommasse=",#REF!,"|EN=",E90,"|BP=",F90,"|MP=",G90,"|Dichte=",H90,"|Ionenradius=",K90,"|Ivolt=",M90,"|Aradius=",L90)</f>
        <v>#REF!</v>
      </c>
      <c r="AO90" s="27" t="e">
        <f>CONCATENATE("|Enthalpie=",#REF!,"|IVolt2=",O90,"|Wert=",P90,"|IVolt3=",Q90,"|Farbe=",R90,"|Flamme=",S90,"|Elektronenkonfiguration=",T90,"|EK-Wiki=",U90,"|pre=",V90,"|next=",W90,"|Metall=",X90,"|E-Name=",Y90,"|L-Name=",Z90)</f>
        <v>#REF!</v>
      </c>
      <c r="AP90" s="27" t="e">
        <f t="shared" si="27"/>
        <v>#REF!</v>
      </c>
      <c r="AQ90" s="31" t="e">
        <f t="shared" si="19"/>
        <v>#REF!</v>
      </c>
      <c r="AR90" t="e">
        <f t="shared" si="33"/>
        <v>#REF!</v>
      </c>
    </row>
    <row r="91" spans="1:45" ht="18" customHeight="1">
      <c r="A91">
        <v>90</v>
      </c>
      <c r="B91" t="s">
        <v>401</v>
      </c>
      <c r="C91" t="s">
        <v>402</v>
      </c>
      <c r="D91">
        <v>232.04</v>
      </c>
      <c r="E91">
        <v>1.3</v>
      </c>
      <c r="F91" s="36" t="s">
        <v>1204</v>
      </c>
      <c r="G91" s="54" t="s">
        <v>1163</v>
      </c>
      <c r="H91" s="42" t="s">
        <v>479</v>
      </c>
      <c r="I91" t="s">
        <v>178</v>
      </c>
      <c r="J91" t="s">
        <v>882</v>
      </c>
      <c r="L91">
        <v>179.8</v>
      </c>
      <c r="M91" s="56" t="s">
        <v>1265</v>
      </c>
      <c r="O91" s="30">
        <v>1109.5899999999999</v>
      </c>
      <c r="P91">
        <v>4</v>
      </c>
      <c r="Q91" s="30">
        <v>1929.72</v>
      </c>
      <c r="R91" t="s">
        <v>1033</v>
      </c>
      <c r="T91" t="s">
        <v>691</v>
      </c>
      <c r="U91" t="s">
        <v>738</v>
      </c>
      <c r="V91" t="str">
        <f t="shared" si="34"/>
        <v>Actinium</v>
      </c>
      <c r="W91" t="str">
        <f t="shared" si="35"/>
        <v>Protactinium</v>
      </c>
      <c r="X91" t="s">
        <v>809</v>
      </c>
      <c r="Y91" s="16" t="s">
        <v>402</v>
      </c>
      <c r="Z91" s="35"/>
      <c r="AA91" s="16"/>
      <c r="AB91" s="27" t="s">
        <v>2</v>
      </c>
      <c r="AC91" s="27" t="str">
        <f t="shared" si="36"/>
        <v>#REDIRECT [[Thorium]]</v>
      </c>
      <c r="AD91" s="7" t="s">
        <v>167</v>
      </c>
      <c r="AE91" t="s">
        <v>310</v>
      </c>
      <c r="AF91" t="str">
        <f t="shared" si="38"/>
        <v>Thorium</v>
      </c>
      <c r="AI91" t="e">
        <f>CONCATENATE(" wurde ",#REF!," in ",J91," durch ",I91," entdeckt.")</f>
        <v>#REF!</v>
      </c>
      <c r="AL91" t="str">
        <f t="shared" si="37"/>
        <v>090</v>
      </c>
      <c r="AM91" t="s">
        <v>1042</v>
      </c>
      <c r="AN91" s="27" t="e">
        <f>CONCATENATE("{{Element|Ordnungszahl=",A91,"|Symbol=",B91,"|Name=",C91,"|Atommasse=",#REF!,"|EN=",E91,"|BP=",F91,"|MP=",G91,"|Dichte=",H91,"|Ionenradius=",K91,"|Ivolt=",M91,"|Aradius=",L91)</f>
        <v>#REF!</v>
      </c>
      <c r="AO91" s="27" t="e">
        <f>CONCATENATE("|Enthalpie=",#REF!,"|IVolt2=",O91,"|Wert=",P91,"|IVolt3=",Q91,"|Farbe=",R91,"|Flamme=",S91,"|Elektronenkonfiguration=",T91,"|EK-Wiki=",U91,"|pre=",V91,"|next=",W91,"|Metall=",X91,"|E-Name=",Y91,"|L-Name=",Z91)</f>
        <v>#REF!</v>
      </c>
      <c r="AP91" s="27" t="e">
        <f t="shared" si="27"/>
        <v>#REF!</v>
      </c>
      <c r="AQ91" s="31" t="e">
        <f t="shared" si="19"/>
        <v>#REF!</v>
      </c>
      <c r="AR91" t="e">
        <f t="shared" si="33"/>
        <v>#REF!</v>
      </c>
    </row>
    <row r="92" spans="1:45" ht="18" customHeight="1">
      <c r="A92">
        <v>91</v>
      </c>
      <c r="B92" t="s">
        <v>403</v>
      </c>
      <c r="C92" t="s">
        <v>404</v>
      </c>
      <c r="D92">
        <v>231.04</v>
      </c>
      <c r="E92">
        <v>1.5</v>
      </c>
      <c r="F92" s="50" t="s">
        <v>1099</v>
      </c>
      <c r="G92" s="54" t="s">
        <v>1098</v>
      </c>
      <c r="H92" t="s">
        <v>480</v>
      </c>
      <c r="I92" t="s">
        <v>179</v>
      </c>
      <c r="J92" t="s">
        <v>873</v>
      </c>
      <c r="L92">
        <v>160.6</v>
      </c>
      <c r="M92" s="56" t="s">
        <v>1265</v>
      </c>
      <c r="O92" s="30" t="s">
        <v>874</v>
      </c>
      <c r="P92">
        <v>7</v>
      </c>
      <c r="Q92" s="30" t="s">
        <v>874</v>
      </c>
      <c r="R92" t="s">
        <v>1034</v>
      </c>
      <c r="T92" t="s">
        <v>692</v>
      </c>
      <c r="U92" t="s">
        <v>790</v>
      </c>
      <c r="V92" t="str">
        <f t="shared" si="34"/>
        <v>Thorium</v>
      </c>
      <c r="W92" t="str">
        <f t="shared" si="35"/>
        <v>Uran</v>
      </c>
      <c r="X92" t="s">
        <v>809</v>
      </c>
      <c r="Y92" s="16" t="s">
        <v>404</v>
      </c>
      <c r="Z92" s="35"/>
      <c r="AA92" s="16"/>
      <c r="AB92" s="27" t="s">
        <v>275</v>
      </c>
      <c r="AC92" s="27" t="str">
        <f t="shared" si="36"/>
        <v>#REDIRECT [[Protactinium]]</v>
      </c>
      <c r="AD92" s="7" t="s">
        <v>167</v>
      </c>
      <c r="AE92" t="s">
        <v>312</v>
      </c>
      <c r="AF92" t="str">
        <f t="shared" si="38"/>
        <v>Protactinium</v>
      </c>
      <c r="AI92" t="e">
        <f>CONCATENATE(" wurde ",#REF!," in ",J92," durch ",I92," entdeckt.")</f>
        <v>#REF!</v>
      </c>
      <c r="AL92" t="str">
        <f t="shared" si="37"/>
        <v>091</v>
      </c>
      <c r="AM92" t="s">
        <v>1042</v>
      </c>
      <c r="AN92" s="27" t="e">
        <f>CONCATENATE("{{Element|Ordnungszahl=",A92,"|Symbol=",B92,"|Name=",C92,"|Atommasse=",#REF!,"|EN=",E92,"|BP=",F92,"|MP=",G92,"|Dichte=",H92,"|Ionenradius=",K92,"|Ivolt=",M92,"|Aradius=",L92)</f>
        <v>#REF!</v>
      </c>
      <c r="AO92" s="27" t="e">
        <f>CONCATENATE("|Enthalpie=",#REF!,"|IVolt2=",O92,"|Wert=",P92,"|IVolt3=",Q92,"|Farbe=",R92,"|Flamme=",S92,"|Elektronenkonfiguration=",T92,"|EK-Wiki=",U92,"|pre=",V92,"|next=",W92,"|Metall=",X92,"|E-Name=",Y92,"|L-Name=",Z92)</f>
        <v>#REF!</v>
      </c>
      <c r="AP92" s="27" t="e">
        <f t="shared" si="27"/>
        <v>#REF!</v>
      </c>
      <c r="AQ92" s="31" t="e">
        <f t="shared" si="19"/>
        <v>#REF!</v>
      </c>
      <c r="AR92" t="e">
        <f t="shared" si="33"/>
        <v>#REF!</v>
      </c>
    </row>
    <row r="93" spans="1:45" ht="18" customHeight="1">
      <c r="A93">
        <v>92</v>
      </c>
      <c r="B93" t="s">
        <v>405</v>
      </c>
      <c r="C93" t="s">
        <v>406</v>
      </c>
      <c r="D93">
        <v>238.03</v>
      </c>
      <c r="E93">
        <v>1.4</v>
      </c>
      <c r="F93" s="36" t="s">
        <v>1171</v>
      </c>
      <c r="G93" s="54" t="s">
        <v>1164</v>
      </c>
      <c r="H93" t="s">
        <v>1108</v>
      </c>
      <c r="I93" t="s">
        <v>180</v>
      </c>
      <c r="J93" t="s">
        <v>926</v>
      </c>
      <c r="L93">
        <v>138.5</v>
      </c>
      <c r="M93" s="56" t="s">
        <v>1290</v>
      </c>
      <c r="O93" s="30" t="s">
        <v>874</v>
      </c>
      <c r="P93">
        <v>9</v>
      </c>
      <c r="Q93" s="30" t="s">
        <v>874</v>
      </c>
      <c r="R93" t="s">
        <v>1035</v>
      </c>
      <c r="T93" t="s">
        <v>693</v>
      </c>
      <c r="U93" t="s">
        <v>735</v>
      </c>
      <c r="V93" t="str">
        <f t="shared" si="34"/>
        <v>Protactinium</v>
      </c>
      <c r="W93" t="str">
        <f t="shared" si="35"/>
        <v>Neptunium</v>
      </c>
      <c r="X93" t="s">
        <v>809</v>
      </c>
      <c r="Y93" s="16" t="s">
        <v>851</v>
      </c>
      <c r="Z93" s="35"/>
      <c r="AA93" s="16"/>
      <c r="AB93" s="27" t="s">
        <v>276</v>
      </c>
      <c r="AC93" s="27" t="str">
        <f t="shared" si="36"/>
        <v>#REDIRECT [[Uran]]</v>
      </c>
      <c r="AD93" s="7" t="s">
        <v>167</v>
      </c>
      <c r="AE93" t="s">
        <v>316</v>
      </c>
      <c r="AF93" t="str">
        <f t="shared" si="38"/>
        <v>Uran</v>
      </c>
      <c r="AI93" t="e">
        <f>CONCATENATE(" wurde ",#REF!," in ",J93," durch ",I93," entdeckt.")</f>
        <v>#REF!</v>
      </c>
      <c r="AL93" t="str">
        <f t="shared" si="37"/>
        <v>092</v>
      </c>
      <c r="AM93" t="s">
        <v>1042</v>
      </c>
      <c r="AN93" s="27" t="e">
        <f>CONCATENATE("{{Element|Ordnungszahl=",A93,"|Symbol=",B93,"|Name=",C93,"|Atommasse=",#REF!,"|EN=",E93,"|BP=",F93,"|MP=",G93,"|Dichte=",H93,"|Ionenradius=",K93,"|Ivolt=",M93,"|Aradius=",L93)</f>
        <v>#REF!</v>
      </c>
      <c r="AO93" s="27" t="e">
        <f>CONCATENATE("|Enthalpie=",#REF!,"|IVolt2=",O93,"|Wert=",P93,"|IVolt3=",Q93,"|Farbe=",R93,"|Flamme=",S93,"|Elektronenkonfiguration=",T93,"|EK-Wiki=",U93,"|pre=",V93,"|next=",W93,"|Metall=",X93,"|E-Name=",Y93,"|L-Name=",Z93)</f>
        <v>#REF!</v>
      </c>
      <c r="AP93" s="27" t="e">
        <f t="shared" si="27"/>
        <v>#REF!</v>
      </c>
      <c r="AQ93" s="31" t="e">
        <f t="shared" si="19"/>
        <v>#REF!</v>
      </c>
      <c r="AR93" t="e">
        <f t="shared" si="33"/>
        <v>#REF!</v>
      </c>
    </row>
    <row r="94" spans="1:45" ht="18" customHeight="1">
      <c r="A94">
        <v>93</v>
      </c>
      <c r="B94" t="s">
        <v>407</v>
      </c>
      <c r="C94" t="s">
        <v>408</v>
      </c>
      <c r="D94">
        <v>237</v>
      </c>
      <c r="E94">
        <v>1.4</v>
      </c>
      <c r="F94" s="36" t="s">
        <v>1205</v>
      </c>
      <c r="G94" s="54" t="s">
        <v>1165</v>
      </c>
      <c r="H94" t="s">
        <v>1109</v>
      </c>
      <c r="I94" t="s">
        <v>181</v>
      </c>
      <c r="J94" t="s">
        <v>320</v>
      </c>
      <c r="L94">
        <v>131</v>
      </c>
      <c r="M94" s="56" t="s">
        <v>1275</v>
      </c>
      <c r="O94" s="30" t="s">
        <v>874</v>
      </c>
      <c r="P94">
        <v>9</v>
      </c>
      <c r="Q94" s="30" t="s">
        <v>874</v>
      </c>
      <c r="R94" t="s">
        <v>1033</v>
      </c>
      <c r="T94" t="s">
        <v>694</v>
      </c>
      <c r="U94" t="s">
        <v>792</v>
      </c>
      <c r="V94" t="str">
        <f t="shared" si="34"/>
        <v>Uran</v>
      </c>
      <c r="W94" t="str">
        <f t="shared" si="35"/>
        <v>Plutonium</v>
      </c>
      <c r="X94" t="s">
        <v>809</v>
      </c>
      <c r="Y94" s="16" t="s">
        <v>408</v>
      </c>
      <c r="Z94" s="35"/>
      <c r="AA94" s="16"/>
      <c r="AB94" s="27" t="s">
        <v>277</v>
      </c>
      <c r="AC94" s="27" t="str">
        <f t="shared" si="36"/>
        <v>#REDIRECT [[Neptunium]]</v>
      </c>
      <c r="AD94" s="7" t="s">
        <v>167</v>
      </c>
      <c r="AE94" t="s">
        <v>319</v>
      </c>
      <c r="AF94" t="str">
        <f t="shared" si="38"/>
        <v>Neptunium</v>
      </c>
      <c r="AI94" t="e">
        <f>CONCATENATE(" wurde ",#REF!," in ",J94," durch ",I94," entdeckt.")</f>
        <v>#REF!</v>
      </c>
      <c r="AL94" t="str">
        <f t="shared" si="37"/>
        <v>093</v>
      </c>
      <c r="AM94" t="s">
        <v>1042</v>
      </c>
      <c r="AN94" s="27" t="e">
        <f>CONCATENATE("{{Element|Ordnungszahl=",A94,"|Symbol=",B94,"|Name=",C94,"|Atommasse=",#REF!,"|EN=",E94,"|BP=",F94,"|MP=",G94,"|Dichte=",H94,"|Ionenradius=",K94,"|Ivolt=",M94,"|Aradius=",L94)</f>
        <v>#REF!</v>
      </c>
      <c r="AO94" s="27" t="e">
        <f>CONCATENATE("|Enthalpie=",#REF!,"|IVolt2=",O94,"|Wert=",P94,"|IVolt3=",Q94,"|Farbe=",R94,"|Flamme=",S94,"|Elektronenkonfiguration=",T94,"|EK-Wiki=",U94,"|pre=",V94,"|next=",W94,"|Metall=",X94,"|E-Name=",Y94,"|L-Name=",Z94)</f>
        <v>#REF!</v>
      </c>
      <c r="AP94" s="27" t="e">
        <f t="shared" si="27"/>
        <v>#REF!</v>
      </c>
      <c r="AQ94" s="31" t="e">
        <f t="shared" si="19"/>
        <v>#REF!</v>
      </c>
      <c r="AR94" t="e">
        <f t="shared" si="33"/>
        <v>#REF!</v>
      </c>
    </row>
    <row r="95" spans="1:45" ht="18" customHeight="1">
      <c r="A95">
        <v>94</v>
      </c>
      <c r="B95" t="s">
        <v>409</v>
      </c>
      <c r="C95" t="s">
        <v>410</v>
      </c>
      <c r="D95">
        <v>244</v>
      </c>
      <c r="E95">
        <v>1.3</v>
      </c>
      <c r="F95" s="36" t="s">
        <v>1206</v>
      </c>
      <c r="G95" s="54" t="s">
        <v>1165</v>
      </c>
      <c r="H95" s="42" t="s">
        <v>1214</v>
      </c>
      <c r="I95" t="s">
        <v>182</v>
      </c>
      <c r="J95" t="s">
        <v>320</v>
      </c>
      <c r="L95">
        <v>151</v>
      </c>
      <c r="M95" s="56" t="s">
        <v>1291</v>
      </c>
      <c r="O95" s="30" t="s">
        <v>874</v>
      </c>
      <c r="P95">
        <v>10</v>
      </c>
      <c r="Q95" s="30" t="s">
        <v>874</v>
      </c>
      <c r="R95" t="s">
        <v>1037</v>
      </c>
      <c r="T95" t="s">
        <v>682</v>
      </c>
      <c r="U95" t="s">
        <v>795</v>
      </c>
      <c r="V95" t="str">
        <f t="shared" si="34"/>
        <v>Neptunium</v>
      </c>
      <c r="W95" t="str">
        <f t="shared" si="35"/>
        <v>Americium</v>
      </c>
      <c r="X95" t="s">
        <v>809</v>
      </c>
      <c r="Y95" s="16" t="s">
        <v>410</v>
      </c>
      <c r="Z95" s="35"/>
      <c r="AA95" s="16"/>
      <c r="AB95" s="27" t="s">
        <v>278</v>
      </c>
      <c r="AC95" s="27" t="str">
        <f t="shared" si="36"/>
        <v>#REDIRECT [[Plutonium]]</v>
      </c>
      <c r="AD95" s="7" t="s">
        <v>167</v>
      </c>
      <c r="AE95" t="s">
        <v>322</v>
      </c>
      <c r="AF95" t="str">
        <f t="shared" si="38"/>
        <v>Plutonium</v>
      </c>
      <c r="AI95" t="e">
        <f>CONCATENATE(" wurde ",#REF!," in ",J95," durch ",I95," entdeckt.")</f>
        <v>#REF!</v>
      </c>
      <c r="AL95" t="str">
        <f t="shared" si="37"/>
        <v>094</v>
      </c>
      <c r="AM95" t="s">
        <v>1042</v>
      </c>
      <c r="AN95" s="27" t="e">
        <f>CONCATENATE("{{Element|Ordnungszahl=",A95,"|Symbol=",B95,"|Name=",C95,"|Atommasse=",#REF!,"|EN=",E95,"|BP=",F95,"|MP=",G95,"|Dichte=",H95,"|Ionenradius=",K95,"|Ivolt=",M95,"|Aradius=",L95)</f>
        <v>#REF!</v>
      </c>
      <c r="AO95" s="27" t="e">
        <f>CONCATENATE("|Enthalpie=",#REF!,"|IVolt2=",O95,"|Wert=",P95,"|IVolt3=",Q95,"|Farbe=",R95,"|Flamme=",S95,"|Elektronenkonfiguration=",T95,"|EK-Wiki=",U95,"|pre=",V95,"|next=",W95,"|Metall=",X95,"|E-Name=",Y95,"|L-Name=",Z95)</f>
        <v>#REF!</v>
      </c>
      <c r="AP95" s="27" t="e">
        <f t="shared" si="27"/>
        <v>#REF!</v>
      </c>
      <c r="AQ95" s="31" t="e">
        <f t="shared" si="19"/>
        <v>#REF!</v>
      </c>
      <c r="AR95" t="e">
        <f t="shared" si="33"/>
        <v>#REF!</v>
      </c>
    </row>
    <row r="96" spans="1:45" ht="18" customHeight="1">
      <c r="A96">
        <v>95</v>
      </c>
      <c r="B96" t="s">
        <v>411</v>
      </c>
      <c r="C96" t="s">
        <v>412</v>
      </c>
      <c r="D96">
        <v>243</v>
      </c>
      <c r="E96">
        <v>1.1000000000000001</v>
      </c>
      <c r="F96" s="36" t="s">
        <v>1207</v>
      </c>
      <c r="G96" s="54" t="s">
        <v>1166</v>
      </c>
      <c r="H96" t="s">
        <v>481</v>
      </c>
      <c r="I96" t="s">
        <v>183</v>
      </c>
      <c r="J96" t="s">
        <v>320</v>
      </c>
      <c r="L96">
        <v>184</v>
      </c>
      <c r="M96" s="56" t="s">
        <v>1292</v>
      </c>
      <c r="O96" s="30" t="s">
        <v>874</v>
      </c>
      <c r="P96">
        <v>5</v>
      </c>
      <c r="Q96" s="30" t="s">
        <v>874</v>
      </c>
      <c r="R96" t="s">
        <v>1030</v>
      </c>
      <c r="T96" t="s">
        <v>683</v>
      </c>
      <c r="U96" t="s">
        <v>798</v>
      </c>
      <c r="V96" t="str">
        <f t="shared" si="34"/>
        <v>Plutonium</v>
      </c>
      <c r="W96" t="str">
        <f t="shared" si="35"/>
        <v>Curium</v>
      </c>
      <c r="X96" t="s">
        <v>809</v>
      </c>
      <c r="Y96" s="16" t="s">
        <v>412</v>
      </c>
      <c r="Z96" s="35"/>
      <c r="AA96" s="16"/>
      <c r="AB96" s="27" t="s">
        <v>279</v>
      </c>
      <c r="AC96" s="27" t="str">
        <f t="shared" si="36"/>
        <v>#REDIRECT [[Americium]]</v>
      </c>
      <c r="AD96" s="7" t="s">
        <v>167</v>
      </c>
      <c r="AE96" t="s">
        <v>325</v>
      </c>
      <c r="AF96" t="str">
        <f t="shared" si="38"/>
        <v>Americium</v>
      </c>
      <c r="AI96" t="e">
        <f>CONCATENATE(" wurde ",#REF!," in ",J96," durch ",I96," entdeckt.")</f>
        <v>#REF!</v>
      </c>
      <c r="AL96" t="str">
        <f t="shared" si="37"/>
        <v>095</v>
      </c>
      <c r="AM96" t="s">
        <v>1041</v>
      </c>
      <c r="AN96" s="27" t="e">
        <f>CONCATENATE("{{Element|Ordnungszahl=",A96,"|Symbol=",B96,"|Name=",C96,"|Atommasse=",#REF!,"|EN=",E96,"|BP=",F96,"|MP=",G96,"|Dichte=",H96,"|Ionenradius=",K96,"|Ivolt=",M96,"|Aradius=",L96)</f>
        <v>#REF!</v>
      </c>
      <c r="AO96" s="27" t="e">
        <f>CONCATENATE("|Enthalpie=",#REF!,"|IVolt2=",O96,"|Wert=",P96,"|IVolt3=",Q96,"|Farbe=",R96,"|Flamme=",S96,"|Elektronenkonfiguration=",T96,"|EK-Wiki=",U96,"|pre=",V96,"|next=",W96,"|Metall=",X96,"|E-Name=",Y96,"|L-Name=",Z96)</f>
        <v>#REF!</v>
      </c>
      <c r="AP96" s="27" t="e">
        <f t="shared" si="27"/>
        <v>#REF!</v>
      </c>
      <c r="AQ96" s="31" t="e">
        <f t="shared" si="19"/>
        <v>#REF!</v>
      </c>
      <c r="AR96" t="e">
        <f t="shared" si="33"/>
        <v>#REF!</v>
      </c>
    </row>
    <row r="97" spans="1:44" ht="18" customHeight="1">
      <c r="A97">
        <v>96</v>
      </c>
      <c r="B97" t="s">
        <v>413</v>
      </c>
      <c r="C97" t="s">
        <v>414</v>
      </c>
      <c r="D97">
        <v>247</v>
      </c>
      <c r="E97">
        <v>1.3</v>
      </c>
      <c r="F97" s="36" t="s">
        <v>1208</v>
      </c>
      <c r="G97" s="54" t="s">
        <v>1167</v>
      </c>
      <c r="H97" t="s">
        <v>482</v>
      </c>
      <c r="I97" t="s">
        <v>184</v>
      </c>
      <c r="J97" t="s">
        <v>320</v>
      </c>
      <c r="L97" t="s">
        <v>822</v>
      </c>
      <c r="M97" s="56" t="s">
        <v>1293</v>
      </c>
      <c r="O97" s="30" t="s">
        <v>874</v>
      </c>
      <c r="P97">
        <v>3</v>
      </c>
      <c r="Q97" s="30" t="s">
        <v>874</v>
      </c>
      <c r="R97" t="s">
        <v>1030</v>
      </c>
      <c r="T97" t="s">
        <v>695</v>
      </c>
      <c r="U97" t="s">
        <v>799</v>
      </c>
      <c r="V97" t="str">
        <f t="shared" si="34"/>
        <v>Americium</v>
      </c>
      <c r="W97" t="str">
        <f t="shared" si="35"/>
        <v>Berkelium</v>
      </c>
      <c r="X97" t="s">
        <v>809</v>
      </c>
      <c r="Y97" s="16" t="s">
        <v>414</v>
      </c>
      <c r="Z97" s="35"/>
      <c r="AA97" s="16"/>
      <c r="AB97" s="27" t="s">
        <v>280</v>
      </c>
      <c r="AC97" s="27" t="str">
        <f t="shared" si="36"/>
        <v>#REDIRECT [[Curium]]</v>
      </c>
      <c r="AD97" s="7" t="s">
        <v>167</v>
      </c>
      <c r="AE97" t="s">
        <v>328</v>
      </c>
      <c r="AF97" t="str">
        <f t="shared" si="38"/>
        <v>Curium</v>
      </c>
      <c r="AI97" t="e">
        <f>CONCATENATE(" wurde ",#REF!," in ",J97," durch ",I97," entdeckt.")</f>
        <v>#REF!</v>
      </c>
      <c r="AL97" t="str">
        <f t="shared" si="37"/>
        <v>096</v>
      </c>
      <c r="AM97" t="s">
        <v>1042</v>
      </c>
      <c r="AN97" s="27" t="e">
        <f>CONCATENATE("{{Element|Ordnungszahl=",A97,"|Symbol=",B97,"|Name=",C97,"|Atommasse=",#REF!,"|EN=",E97,"|BP=",F97,"|MP=",G97,"|Dichte=",H97,"|Ionenradius=",K97,"|Ivolt=",M97,"|Aradius=",L97)</f>
        <v>#REF!</v>
      </c>
      <c r="AO97" s="27" t="e">
        <f>CONCATENATE("|Enthalpie=",#REF!,"|IVolt2=",O97,"|Wert=",P97,"|IVolt3=",Q97,"|Farbe=",R97,"|Flamme=",S97,"|Elektronenkonfiguration=",T97,"|EK-Wiki=",U97,"|pre=",V97,"|next=",W97,"|Metall=",X97,"|E-Name=",Y97,"|L-Name=",Z97)</f>
        <v>#REF!</v>
      </c>
      <c r="AP97" s="27" t="e">
        <f t="shared" si="27"/>
        <v>#REF!</v>
      </c>
      <c r="AQ97" s="31" t="e">
        <f t="shared" si="19"/>
        <v>#REF!</v>
      </c>
      <c r="AR97" t="e">
        <f t="shared" si="33"/>
        <v>#REF!</v>
      </c>
    </row>
    <row r="98" spans="1:44" ht="18" customHeight="1">
      <c r="A98">
        <v>97</v>
      </c>
      <c r="B98" t="s">
        <v>415</v>
      </c>
      <c r="C98" s="42" t="s">
        <v>416</v>
      </c>
      <c r="D98">
        <v>247</v>
      </c>
      <c r="E98">
        <v>1.3</v>
      </c>
      <c r="F98" s="55" t="s">
        <v>1096</v>
      </c>
      <c r="G98" s="54" t="s">
        <v>536</v>
      </c>
      <c r="H98" t="s">
        <v>1110</v>
      </c>
      <c r="I98" t="s">
        <v>185</v>
      </c>
      <c r="J98" t="s">
        <v>320</v>
      </c>
      <c r="L98" t="s">
        <v>822</v>
      </c>
      <c r="M98" s="56" t="s">
        <v>1294</v>
      </c>
      <c r="O98" s="30" t="s">
        <v>874</v>
      </c>
      <c r="P98">
        <v>7</v>
      </c>
      <c r="Q98" s="30" t="s">
        <v>874</v>
      </c>
      <c r="R98" t="s">
        <v>1034</v>
      </c>
      <c r="T98" t="s">
        <v>684</v>
      </c>
      <c r="U98" t="s">
        <v>801</v>
      </c>
      <c r="V98" t="str">
        <f t="shared" si="34"/>
        <v>Curium</v>
      </c>
      <c r="W98" t="str">
        <f t="shared" si="35"/>
        <v>Californium</v>
      </c>
      <c r="X98" t="s">
        <v>809</v>
      </c>
      <c r="Y98" s="16" t="s">
        <v>416</v>
      </c>
      <c r="Z98" s="35"/>
      <c r="AA98" s="16"/>
      <c r="AB98" s="27" t="s">
        <v>281</v>
      </c>
      <c r="AC98" s="27" t="str">
        <f t="shared" si="36"/>
        <v>#REDIRECT [[Berkelium]]</v>
      </c>
      <c r="AD98" s="7" t="s">
        <v>167</v>
      </c>
      <c r="AE98" t="s">
        <v>332</v>
      </c>
      <c r="AF98" t="str">
        <f t="shared" si="38"/>
        <v>Berkelium</v>
      </c>
      <c r="AI98" t="e">
        <f>CONCATENATE(" wurde ",#REF!," in ",J98," durch ",I98," entdeckt.")</f>
        <v>#REF!</v>
      </c>
      <c r="AL98" t="str">
        <f t="shared" si="37"/>
        <v>097</v>
      </c>
      <c r="AM98" t="s">
        <v>1042</v>
      </c>
      <c r="AN98" s="27" t="e">
        <f>CONCATENATE("{{Element|Ordnungszahl=",A98,"|Symbol=",B98,"|Name=",C98,"|Atommasse=",#REF!,"|EN=",E98,"|BP=",F98,"|MP=",G98,"|Dichte=",H98,"|Ionenradius=",K98,"|Ivolt=",M98,"|Aradius=",L98)</f>
        <v>#REF!</v>
      </c>
      <c r="AO98" s="27" t="e">
        <f>CONCATENATE("|Enthalpie=",#REF!,"|IVolt2=",O98,"|Wert=",P98,"|IVolt3=",Q98,"|Farbe=",R98,"|Flamme=",S98,"|Elektronenkonfiguration=",T98,"|EK-Wiki=",U98,"|pre=",V98,"|next=",W98,"|Metall=",X98,"|E-Name=",Y98,"|L-Name=",Z98)</f>
        <v>#REF!</v>
      </c>
      <c r="AP98" s="27" t="e">
        <f t="shared" si="27"/>
        <v>#REF!</v>
      </c>
      <c r="AQ98" s="31" t="e">
        <f t="shared" si="19"/>
        <v>#REF!</v>
      </c>
      <c r="AR98" t="e">
        <f t="shared" si="33"/>
        <v>#REF!</v>
      </c>
    </row>
    <row r="99" spans="1:44" ht="18" customHeight="1">
      <c r="A99">
        <v>98</v>
      </c>
      <c r="B99" t="s">
        <v>417</v>
      </c>
      <c r="C99" t="s">
        <v>418</v>
      </c>
      <c r="D99">
        <v>251</v>
      </c>
      <c r="E99">
        <v>1.3</v>
      </c>
      <c r="F99" s="42" t="s">
        <v>1097</v>
      </c>
      <c r="G99" s="54" t="s">
        <v>537</v>
      </c>
      <c r="H99" t="s">
        <v>483</v>
      </c>
      <c r="I99" t="s">
        <v>186</v>
      </c>
      <c r="J99" t="s">
        <v>320</v>
      </c>
      <c r="L99" t="s">
        <v>822</v>
      </c>
      <c r="M99" s="56" t="s">
        <v>1295</v>
      </c>
      <c r="O99" s="30" t="s">
        <v>874</v>
      </c>
      <c r="P99">
        <v>3</v>
      </c>
      <c r="Q99" s="30" t="s">
        <v>874</v>
      </c>
      <c r="R99" t="s">
        <v>1034</v>
      </c>
      <c r="T99" t="s">
        <v>685</v>
      </c>
      <c r="U99" t="s">
        <v>768</v>
      </c>
      <c r="V99" t="str">
        <f t="shared" si="34"/>
        <v>Berkelium</v>
      </c>
      <c r="W99" t="str">
        <f t="shared" si="35"/>
        <v>Einsteinium</v>
      </c>
      <c r="X99" t="s">
        <v>809</v>
      </c>
      <c r="Y99" s="16" t="s">
        <v>418</v>
      </c>
      <c r="Z99" s="35"/>
      <c r="AA99" s="16"/>
      <c r="AB99" s="27" t="s">
        <v>282</v>
      </c>
      <c r="AC99" s="27" t="str">
        <f t="shared" si="36"/>
        <v>#REDIRECT [[Californium]]</v>
      </c>
      <c r="AD99" s="7" t="s">
        <v>167</v>
      </c>
      <c r="AE99" t="s">
        <v>335</v>
      </c>
      <c r="AF99" t="str">
        <f t="shared" si="38"/>
        <v>Californium</v>
      </c>
      <c r="AI99" t="e">
        <f>CONCATENATE(" wurde ",#REF!," in ",J99," durch ",I99," entdeckt.")</f>
        <v>#REF!</v>
      </c>
      <c r="AL99" t="str">
        <f t="shared" si="37"/>
        <v>098</v>
      </c>
      <c r="AM99" t="s">
        <v>1042</v>
      </c>
      <c r="AN99" s="27" t="e">
        <f>CONCATENATE("{{Element|Ordnungszahl=",A99,"|Symbol=",B99,"|Name=",C99,"|Atommasse=",#REF!,"|EN=",E99,"|BP=",F99,"|MP=",G99,"|Dichte=",H99,"|Ionenradius=",K99,"|Ivolt=",M99,"|Aradius=",L99)</f>
        <v>#REF!</v>
      </c>
      <c r="AO99" s="27" t="e">
        <f>CONCATENATE("|Enthalpie=",#REF!,"|IVolt2=",O99,"|Wert=",P99,"|IVolt3=",Q99,"|Farbe=",R99,"|Flamme=",S99,"|Elektronenkonfiguration=",T99,"|EK-Wiki=",U99,"|pre=",V99,"|next=",W99,"|Metall=",X99,"|E-Name=",Y99,"|L-Name=",Z99)</f>
        <v>#REF!</v>
      </c>
      <c r="AP99" s="27" t="e">
        <f t="shared" si="27"/>
        <v>#REF!</v>
      </c>
      <c r="AQ99" s="31" t="e">
        <f t="shared" si="19"/>
        <v>#REF!</v>
      </c>
      <c r="AR99" t="e">
        <f t="shared" si="33"/>
        <v>#REF!</v>
      </c>
    </row>
    <row r="100" spans="1:44" ht="18" customHeight="1">
      <c r="A100">
        <v>99</v>
      </c>
      <c r="B100" t="s">
        <v>419</v>
      </c>
      <c r="C100" t="s">
        <v>420</v>
      </c>
      <c r="D100">
        <v>254</v>
      </c>
      <c r="E100">
        <v>1.3</v>
      </c>
      <c r="F100" s="42" t="s">
        <v>1209</v>
      </c>
      <c r="G100" s="54" t="s">
        <v>538</v>
      </c>
      <c r="H100" t="s">
        <v>1111</v>
      </c>
      <c r="I100" t="s">
        <v>187</v>
      </c>
      <c r="J100" t="s">
        <v>320</v>
      </c>
      <c r="L100" t="s">
        <v>822</v>
      </c>
      <c r="M100" s="56" t="s">
        <v>1296</v>
      </c>
      <c r="O100" s="30" t="s">
        <v>874</v>
      </c>
      <c r="Q100" s="30" t="s">
        <v>874</v>
      </c>
      <c r="R100" t="s">
        <v>1034</v>
      </c>
      <c r="T100" t="s">
        <v>686</v>
      </c>
      <c r="U100" t="s">
        <v>802</v>
      </c>
      <c r="V100" t="str">
        <f t="shared" ref="V100:V119" si="39">C99</f>
        <v>Californium</v>
      </c>
      <c r="W100" t="str">
        <f t="shared" si="35"/>
        <v>Fermium</v>
      </c>
      <c r="X100" t="s">
        <v>809</v>
      </c>
      <c r="Y100" s="16" t="s">
        <v>420</v>
      </c>
      <c r="Z100" s="35"/>
      <c r="AA100" s="16"/>
      <c r="AB100" s="27" t="s">
        <v>283</v>
      </c>
      <c r="AC100" s="27" t="str">
        <f t="shared" si="36"/>
        <v>#REDIRECT [[Einsteinium]]</v>
      </c>
      <c r="AD100" s="7" t="s">
        <v>167</v>
      </c>
      <c r="AE100" t="s">
        <v>338</v>
      </c>
      <c r="AF100" t="str">
        <f t="shared" si="38"/>
        <v>Einsteinium</v>
      </c>
      <c r="AI100" t="e">
        <f>CONCATENATE(" wurde ",#REF!," in ",J100," durch ",I100," entdeckt.")</f>
        <v>#REF!</v>
      </c>
      <c r="AL100" t="str">
        <f t="shared" si="37"/>
        <v>099</v>
      </c>
      <c r="AM100" t="s">
        <v>1042</v>
      </c>
      <c r="AN100" s="27" t="e">
        <f>CONCATENATE("{{Element|Ordnungszahl=",A100,"|Symbol=",B100,"|Name=",C100,"|Atommasse=",#REF!,"|EN=",E100,"|BP=",F100,"|MP=",G100,"|Dichte=",H100,"|Ionenradius=",K100,"|Ivolt=",M100,"|Aradius=",L100)</f>
        <v>#REF!</v>
      </c>
      <c r="AO100" s="27" t="e">
        <f>CONCATENATE("|Enthalpie=",#REF!,"|IVolt2=",O100,"|Wert=",P100,"|IVolt3=",Q100,"|Farbe=",R100,"|Flamme=",S100,"|Elektronenkonfiguration=",T100,"|EK-Wiki=",U100,"|pre=",V100,"|next=",W100,"|Metall=",X100,"|E-Name=",Y100,"|L-Name=",Z100)</f>
        <v>#REF!</v>
      </c>
      <c r="AP100" s="27" t="e">
        <f t="shared" si="27"/>
        <v>#REF!</v>
      </c>
      <c r="AQ100" s="31" t="e">
        <f t="shared" si="19"/>
        <v>#REF!</v>
      </c>
      <c r="AR100" t="e">
        <f t="shared" si="33"/>
        <v>#REF!</v>
      </c>
    </row>
    <row r="101" spans="1:44" ht="18" customHeight="1">
      <c r="A101">
        <v>100</v>
      </c>
      <c r="B101" t="s">
        <v>421</v>
      </c>
      <c r="C101" t="s">
        <v>422</v>
      </c>
      <c r="D101">
        <v>257</v>
      </c>
      <c r="E101">
        <v>1.3</v>
      </c>
      <c r="F101" s="50" t="s">
        <v>874</v>
      </c>
      <c r="G101" s="54" t="s">
        <v>1168</v>
      </c>
      <c r="H101" s="42" t="s">
        <v>874</v>
      </c>
      <c r="I101" t="s">
        <v>187</v>
      </c>
      <c r="J101" t="s">
        <v>320</v>
      </c>
      <c r="L101" t="s">
        <v>822</v>
      </c>
      <c r="M101" s="57" t="s">
        <v>874</v>
      </c>
      <c r="O101" s="30" t="s">
        <v>874</v>
      </c>
      <c r="Q101" s="30" t="s">
        <v>874</v>
      </c>
      <c r="R101" t="s">
        <v>1032</v>
      </c>
      <c r="T101" t="s">
        <v>687</v>
      </c>
      <c r="U101" t="s">
        <v>803</v>
      </c>
      <c r="V101" t="str">
        <f t="shared" si="39"/>
        <v>Einsteinium</v>
      </c>
      <c r="W101" t="str">
        <f t="shared" si="35"/>
        <v>Mendelevium</v>
      </c>
      <c r="X101" t="s">
        <v>809</v>
      </c>
      <c r="Y101" s="16" t="s">
        <v>422</v>
      </c>
      <c r="Z101" s="35"/>
      <c r="AA101" s="16"/>
      <c r="AB101" s="27" t="s">
        <v>284</v>
      </c>
      <c r="AC101" s="27" t="str">
        <f t="shared" si="36"/>
        <v>#REDIRECT [[Fermium]]</v>
      </c>
      <c r="AD101" s="7" t="s">
        <v>167</v>
      </c>
      <c r="AE101" t="s">
        <v>341</v>
      </c>
      <c r="AF101" t="str">
        <f t="shared" si="38"/>
        <v>Fermium</v>
      </c>
      <c r="AI101" t="e">
        <f>CONCATENATE(" wurde ",#REF!," in ",J101," durch ",I101," entdeckt.")</f>
        <v>#REF!</v>
      </c>
      <c r="AL101">
        <f t="shared" ref="AL101:AL119" si="40">A101</f>
        <v>100</v>
      </c>
      <c r="AM101" t="s">
        <v>1042</v>
      </c>
      <c r="AN101" s="27" t="e">
        <f>CONCATENATE("{{Element|Ordnungszahl=",A101,"|Symbol=",B101,"|Name=",C101,"|Atommasse=",#REF!,"|EN=",E101,"|BP=",F101,"|MP=",G101,"|Dichte=",H101,"|Ionenradius=",K101,"|Ivolt=",M101,"|Aradius=",L101)</f>
        <v>#REF!</v>
      </c>
      <c r="AO101" s="27" t="e">
        <f>CONCATENATE("|Enthalpie=",#REF!,"|IVolt2=",O101,"|Wert=",P101,"|IVolt3=",Q101,"|Farbe=",R101,"|Flamme=",S101,"|Elektronenkonfiguration=",T101,"|EK-Wiki=",U101,"|pre=",V101,"|next=",W101,"|Metall=",X101,"|E-Name=",Y101,"|L-Name=",Z101)</f>
        <v>#REF!</v>
      </c>
      <c r="AP101" s="27" t="e">
        <f t="shared" si="27"/>
        <v>#REF!</v>
      </c>
      <c r="AQ101" s="31" t="e">
        <f t="shared" si="19"/>
        <v>#REF!</v>
      </c>
      <c r="AR101" t="e">
        <f t="shared" si="33"/>
        <v>#REF!</v>
      </c>
    </row>
    <row r="102" spans="1:44" ht="18" customHeight="1">
      <c r="A102">
        <v>101</v>
      </c>
      <c r="B102" t="s">
        <v>423</v>
      </c>
      <c r="C102" t="s">
        <v>424</v>
      </c>
      <c r="D102">
        <v>258</v>
      </c>
      <c r="E102">
        <v>1.3</v>
      </c>
      <c r="F102" s="42" t="s">
        <v>874</v>
      </c>
      <c r="G102" s="42" t="s">
        <v>874</v>
      </c>
      <c r="H102" s="42" t="s">
        <v>874</v>
      </c>
      <c r="I102" t="s">
        <v>187</v>
      </c>
      <c r="J102" t="s">
        <v>320</v>
      </c>
      <c r="L102" t="s">
        <v>822</v>
      </c>
      <c r="M102" s="57" t="s">
        <v>874</v>
      </c>
      <c r="O102" s="30" t="s">
        <v>874</v>
      </c>
      <c r="Q102" s="30" t="s">
        <v>874</v>
      </c>
      <c r="R102" t="s">
        <v>1032</v>
      </c>
      <c r="T102" t="s">
        <v>688</v>
      </c>
      <c r="U102" t="s">
        <v>804</v>
      </c>
      <c r="V102" t="str">
        <f t="shared" si="39"/>
        <v>Fermium</v>
      </c>
      <c r="W102" t="str">
        <f t="shared" si="35"/>
        <v>Nobelium</v>
      </c>
      <c r="X102" t="s">
        <v>809</v>
      </c>
      <c r="Y102" s="16" t="s">
        <v>424</v>
      </c>
      <c r="Z102" s="35"/>
      <c r="AA102" s="16"/>
      <c r="AB102" s="27" t="s">
        <v>285</v>
      </c>
      <c r="AC102" s="27" t="str">
        <f t="shared" si="36"/>
        <v>#REDIRECT [[Mendelevium]]</v>
      </c>
      <c r="AD102" s="7" t="s">
        <v>167</v>
      </c>
      <c r="AE102" t="s">
        <v>344</v>
      </c>
      <c r="AF102" t="str">
        <f t="shared" si="38"/>
        <v>Mendelevium</v>
      </c>
      <c r="AI102" t="e">
        <f>CONCATENATE(" wurde ",#REF!," in ",J102," durch ",I102," entdeckt.")</f>
        <v>#REF!</v>
      </c>
      <c r="AL102">
        <f t="shared" si="40"/>
        <v>101</v>
      </c>
      <c r="AM102" t="s">
        <v>1042</v>
      </c>
      <c r="AN102" s="27" t="e">
        <f>CONCATENATE("{{Element|Ordnungszahl=",A102,"|Symbol=",B102,"|Name=",C102,"|Atommasse=",#REF!,"|EN=",E102,"|BP=",F102,"|MP=",G102,"|Dichte=",H102,"|Ionenradius=",K102,"|Ivolt=",M102,"|Aradius=",L102)</f>
        <v>#REF!</v>
      </c>
      <c r="AO102" s="27" t="e">
        <f>CONCATENATE("|Enthalpie=",#REF!,"|IVolt2=",O102,"|Wert=",P102,"|IVolt3=",Q102,"|Farbe=",R102,"|Flamme=",S102,"|Elektronenkonfiguration=",T102,"|EK-Wiki=",U102,"|pre=",V102,"|next=",W102,"|Metall=",X102,"|E-Name=",Y102,"|L-Name=",Z102)</f>
        <v>#REF!</v>
      </c>
      <c r="AP102" s="27" t="e">
        <f t="shared" si="27"/>
        <v>#REF!</v>
      </c>
      <c r="AQ102" s="31" t="e">
        <f t="shared" si="19"/>
        <v>#REF!</v>
      </c>
      <c r="AR102" t="e">
        <f t="shared" si="33"/>
        <v>#REF!</v>
      </c>
    </row>
    <row r="103" spans="1:44" ht="18" customHeight="1">
      <c r="A103">
        <v>102</v>
      </c>
      <c r="B103" t="s">
        <v>425</v>
      </c>
      <c r="C103" t="s">
        <v>426</v>
      </c>
      <c r="D103">
        <v>255</v>
      </c>
      <c r="E103">
        <v>1.3</v>
      </c>
      <c r="F103" s="42" t="s">
        <v>874</v>
      </c>
      <c r="G103" s="42" t="s">
        <v>874</v>
      </c>
      <c r="H103" s="42" t="s">
        <v>874</v>
      </c>
      <c r="I103" t="s">
        <v>188</v>
      </c>
      <c r="J103" t="s">
        <v>320</v>
      </c>
      <c r="L103" t="s">
        <v>822</v>
      </c>
      <c r="M103" s="57" t="s">
        <v>874</v>
      </c>
      <c r="O103" s="30" t="s">
        <v>874</v>
      </c>
      <c r="Q103" s="30" t="s">
        <v>874</v>
      </c>
      <c r="R103" t="s">
        <v>1032</v>
      </c>
      <c r="T103" t="s">
        <v>689</v>
      </c>
      <c r="U103" t="s">
        <v>805</v>
      </c>
      <c r="V103" t="str">
        <f t="shared" si="39"/>
        <v>Mendelevium</v>
      </c>
      <c r="W103" t="str">
        <f t="shared" si="35"/>
        <v>Lawrencium</v>
      </c>
      <c r="X103" t="s">
        <v>809</v>
      </c>
      <c r="Y103" s="16" t="s">
        <v>426</v>
      </c>
      <c r="Z103" s="35"/>
      <c r="AA103" s="16"/>
      <c r="AB103" s="27" t="s">
        <v>286</v>
      </c>
      <c r="AC103" s="27" t="str">
        <f t="shared" si="36"/>
        <v>#REDIRECT [[Nobelium]]</v>
      </c>
      <c r="AD103" s="7" t="s">
        <v>167</v>
      </c>
      <c r="AE103" t="s">
        <v>347</v>
      </c>
      <c r="AF103" t="str">
        <f t="shared" si="38"/>
        <v>Nobelium</v>
      </c>
      <c r="AI103" t="e">
        <f>CONCATENATE(" wurde ",#REF!," in ",J103," durch ",I103," entdeckt.")</f>
        <v>#REF!</v>
      </c>
      <c r="AL103">
        <f t="shared" si="40"/>
        <v>102</v>
      </c>
      <c r="AM103" t="s">
        <v>1042</v>
      </c>
      <c r="AN103" s="27" t="e">
        <f>CONCATENATE("{{Element|Ordnungszahl=",A103,"|Symbol=",B103,"|Name=",C103,"|Atommasse=",#REF!,"|EN=",E103,"|BP=",F103,"|MP=",G103,"|Dichte=",H103,"|Ionenradius=",K103,"|Ivolt=",M103,"|Aradius=",L103)</f>
        <v>#REF!</v>
      </c>
      <c r="AO103" s="27" t="e">
        <f>CONCATENATE("|Enthalpie=",#REF!,"|IVolt2=",O103,"|Wert=",P103,"|IVolt3=",Q103,"|Farbe=",R103,"|Flamme=",S103,"|Elektronenkonfiguration=",T103,"|EK-Wiki=",U103,"|pre=",V103,"|next=",W103,"|Metall=",X103,"|E-Name=",Y103,"|L-Name=",Z103)</f>
        <v>#REF!</v>
      </c>
      <c r="AP103" s="27" t="e">
        <f t="shared" si="27"/>
        <v>#REF!</v>
      </c>
      <c r="AQ103" s="31" t="e">
        <f t="shared" si="19"/>
        <v>#REF!</v>
      </c>
      <c r="AR103" t="e">
        <f t="shared" si="33"/>
        <v>#REF!</v>
      </c>
    </row>
    <row r="104" spans="1:44" ht="18" customHeight="1">
      <c r="A104">
        <v>103</v>
      </c>
      <c r="B104" t="s">
        <v>575</v>
      </c>
      <c r="C104" t="s">
        <v>428</v>
      </c>
      <c r="D104">
        <v>260</v>
      </c>
      <c r="E104">
        <v>1.3</v>
      </c>
      <c r="F104" s="42" t="s">
        <v>874</v>
      </c>
      <c r="G104" s="42" t="s">
        <v>874</v>
      </c>
      <c r="H104" s="42" t="s">
        <v>874</v>
      </c>
      <c r="I104" t="s">
        <v>189</v>
      </c>
      <c r="J104" t="s">
        <v>320</v>
      </c>
      <c r="L104" t="s">
        <v>822</v>
      </c>
      <c r="M104" s="57" t="s">
        <v>874</v>
      </c>
      <c r="O104" s="30" t="s">
        <v>874</v>
      </c>
      <c r="Q104" s="30" t="s">
        <v>874</v>
      </c>
      <c r="R104" t="s">
        <v>1032</v>
      </c>
      <c r="T104" t="s">
        <v>696</v>
      </c>
      <c r="U104" t="s">
        <v>806</v>
      </c>
      <c r="V104" t="str">
        <f t="shared" si="39"/>
        <v>Nobelium</v>
      </c>
      <c r="W104" t="str">
        <f t="shared" si="35"/>
        <v>Rutherfordium</v>
      </c>
      <c r="X104" t="s">
        <v>809</v>
      </c>
      <c r="Y104" s="16" t="s">
        <v>428</v>
      </c>
      <c r="Z104" s="35"/>
      <c r="AA104" s="16"/>
      <c r="AB104" s="27" t="s">
        <v>1047</v>
      </c>
      <c r="AC104" s="27" t="str">
        <f t="shared" si="36"/>
        <v>#REDIRECT [[Lawrencium]]</v>
      </c>
      <c r="AD104" s="7" t="s">
        <v>167</v>
      </c>
      <c r="AE104" t="s">
        <v>350</v>
      </c>
      <c r="AF104" t="str">
        <f t="shared" si="38"/>
        <v>Lawrencium</v>
      </c>
      <c r="AI104" t="e">
        <f>CONCATENATE(" wurde ",#REF!," in ",J104," durch ",I104," entdeckt.")</f>
        <v>#REF!</v>
      </c>
      <c r="AL104">
        <f t="shared" si="40"/>
        <v>103</v>
      </c>
      <c r="AM104" t="s">
        <v>1042</v>
      </c>
      <c r="AN104" s="27" t="e">
        <f>CONCATENATE("{{Element|Ordnungszahl=",A104,"|Symbol=",B104,"|Name=",C104,"|Atommasse=",#REF!,"|EN=",E104,"|BP=",F104,"|MP=",G104,"|Dichte=",H104,"|Ionenradius=",K104,"|Ivolt=",M104,"|Aradius=",L104)</f>
        <v>#REF!</v>
      </c>
      <c r="AO104" s="27" t="e">
        <f>CONCATENATE("|Enthalpie=",#REF!,"|IVolt2=",O104,"|Wert=",P104,"|IVolt3=",Q104,"|Farbe=",R104,"|Flamme=",S104,"|Elektronenkonfiguration=",T104,"|EK-Wiki=",U104,"|pre=",V104,"|next=",W104,"|Metall=",X104,"|E-Name=",Y104,"|L-Name=",Z104)</f>
        <v>#REF!</v>
      </c>
      <c r="AP104" s="27" t="e">
        <f t="shared" si="27"/>
        <v>#REF!</v>
      </c>
      <c r="AQ104" s="31" t="e">
        <f t="shared" si="19"/>
        <v>#REF!</v>
      </c>
      <c r="AR104" t="e">
        <f t="shared" si="33"/>
        <v>#REF!</v>
      </c>
    </row>
    <row r="105" spans="1:44" ht="18" customHeight="1">
      <c r="A105">
        <v>104</v>
      </c>
      <c r="B105" t="s">
        <v>429</v>
      </c>
      <c r="C105" t="s">
        <v>430</v>
      </c>
      <c r="D105">
        <v>261</v>
      </c>
      <c r="E105" t="s">
        <v>822</v>
      </c>
      <c r="F105" s="42" t="s">
        <v>874</v>
      </c>
      <c r="G105" s="42" t="s">
        <v>874</v>
      </c>
      <c r="H105" s="42" t="s">
        <v>874</v>
      </c>
      <c r="I105" t="s">
        <v>190</v>
      </c>
      <c r="J105" t="s">
        <v>431</v>
      </c>
      <c r="L105" t="s">
        <v>822</v>
      </c>
      <c r="M105" s="57" t="s">
        <v>874</v>
      </c>
      <c r="O105" s="30" t="s">
        <v>874</v>
      </c>
      <c r="Q105" s="30" t="s">
        <v>874</v>
      </c>
      <c r="R105" t="s">
        <v>1032</v>
      </c>
      <c r="T105" t="s">
        <v>477</v>
      </c>
      <c r="U105" t="s">
        <v>477</v>
      </c>
      <c r="V105" t="str">
        <f t="shared" si="39"/>
        <v>Lawrencium</v>
      </c>
      <c r="W105" t="str">
        <f t="shared" si="35"/>
        <v>Dubnium</v>
      </c>
      <c r="X105" t="s">
        <v>809</v>
      </c>
      <c r="Y105" s="16" t="s">
        <v>430</v>
      </c>
      <c r="Z105" s="35"/>
      <c r="AA105" s="16"/>
      <c r="AB105" s="27" t="s">
        <v>287</v>
      </c>
      <c r="AC105" s="27" t="str">
        <f t="shared" si="36"/>
        <v>#REDIRECT [[Rutherfordium]]</v>
      </c>
      <c r="AD105" s="7" t="s">
        <v>167</v>
      </c>
      <c r="AE105" t="s">
        <v>353</v>
      </c>
      <c r="AF105" t="str">
        <f t="shared" si="38"/>
        <v>Rutherfordium</v>
      </c>
      <c r="AI105" t="e">
        <f>CONCATENATE(" wurde ",#REF!," in ",J105," durch ",I105," entdeckt.")</f>
        <v>#REF!</v>
      </c>
      <c r="AL105">
        <f t="shared" si="40"/>
        <v>104</v>
      </c>
      <c r="AM105" t="s">
        <v>1042</v>
      </c>
      <c r="AN105" s="27" t="e">
        <f>CONCATENATE("{{Element|Ordnungszahl=",A105,"|Symbol=",B105,"|Name=",C105,"|Atommasse=",#REF!,"|EN=",E105,"|BP=",F105,"|MP=",G105,"|Dichte=",H105,"|Ionenradius=",K105,"|Ivolt=",M105,"|Aradius=",L105)</f>
        <v>#REF!</v>
      </c>
      <c r="AO105" s="27" t="e">
        <f>CONCATENATE("|Enthalpie=",#REF!,"|IVolt2=",O105,"|Wert=",P105,"|IVolt3=",Q105,"|Farbe=",R105,"|Flamme=",S105,"|Elektronenkonfiguration=",T105,"|EK-Wiki=",U105,"|pre=",V105,"|next=",W105,"|Metall=",X105,"|E-Name=",Y105,"|L-Name=",Z105)</f>
        <v>#REF!</v>
      </c>
      <c r="AP105" s="27" t="e">
        <f t="shared" si="27"/>
        <v>#REF!</v>
      </c>
      <c r="AQ105" s="31" t="e">
        <f t="shared" ref="AQ105:AQ119" si="41">CONCATENATE(AN105,AO105,AP105)</f>
        <v>#REF!</v>
      </c>
      <c r="AR105" t="e">
        <f t="shared" si="33"/>
        <v>#REF!</v>
      </c>
    </row>
    <row r="106" spans="1:44" ht="18" customHeight="1">
      <c r="A106">
        <v>105</v>
      </c>
      <c r="B106" t="s">
        <v>432</v>
      </c>
      <c r="C106" t="s">
        <v>576</v>
      </c>
      <c r="D106">
        <v>262</v>
      </c>
      <c r="E106" t="s">
        <v>822</v>
      </c>
      <c r="F106" s="42" t="s">
        <v>874</v>
      </c>
      <c r="G106" s="42" t="s">
        <v>874</v>
      </c>
      <c r="H106" s="42" t="s">
        <v>874</v>
      </c>
      <c r="I106" t="s">
        <v>190</v>
      </c>
      <c r="J106" t="s">
        <v>431</v>
      </c>
      <c r="L106" t="s">
        <v>822</v>
      </c>
      <c r="M106" s="57" t="s">
        <v>874</v>
      </c>
      <c r="O106" s="30" t="s">
        <v>874</v>
      </c>
      <c r="Q106" s="30" t="s">
        <v>874</v>
      </c>
      <c r="R106" t="s">
        <v>1032</v>
      </c>
      <c r="T106" t="s">
        <v>477</v>
      </c>
      <c r="U106" t="s">
        <v>477</v>
      </c>
      <c r="V106" t="str">
        <f t="shared" si="39"/>
        <v>Rutherfordium</v>
      </c>
      <c r="W106" t="str">
        <f t="shared" si="35"/>
        <v>Seaborgium</v>
      </c>
      <c r="X106" t="s">
        <v>809</v>
      </c>
      <c r="Y106" s="16" t="s">
        <v>576</v>
      </c>
      <c r="Z106" s="35"/>
      <c r="AA106" s="16"/>
      <c r="AB106" s="27" t="s">
        <v>288</v>
      </c>
      <c r="AC106" s="27" t="str">
        <f t="shared" si="36"/>
        <v>#REDIRECT [[Dubnium]]</v>
      </c>
      <c r="AD106" s="7" t="s">
        <v>167</v>
      </c>
      <c r="AE106" t="s">
        <v>356</v>
      </c>
      <c r="AF106" t="str">
        <f t="shared" si="38"/>
        <v>Dubnium</v>
      </c>
      <c r="AI106" t="e">
        <f>CONCATENATE(" wurde ",#REF!," in ",J106," durch ",I106," entdeckt.")</f>
        <v>#REF!</v>
      </c>
      <c r="AL106">
        <f t="shared" si="40"/>
        <v>105</v>
      </c>
      <c r="AM106" t="s">
        <v>1042</v>
      </c>
      <c r="AN106" s="27" t="e">
        <f>CONCATENATE("{{Element|Ordnungszahl=",A106,"|Symbol=",B106,"|Name=",C106,"|Atommasse=",#REF!,"|EN=",E106,"|BP=",F106,"|MP=",G106,"|Dichte=",H106,"|Ionenradius=",K106,"|Ivolt=",M106,"|Aradius=",L106)</f>
        <v>#REF!</v>
      </c>
      <c r="AO106" s="27" t="e">
        <f>CONCATENATE("|Enthalpie=",#REF!,"|IVolt2=",O106,"|Wert=",P106,"|IVolt3=",Q106,"|Farbe=",R106,"|Flamme=",S106,"|Elektronenkonfiguration=",T106,"|EK-Wiki=",U106,"|pre=",V106,"|next=",W106,"|Metall=",X106,"|E-Name=",Y106,"|L-Name=",Z106)</f>
        <v>#REF!</v>
      </c>
      <c r="AP106" s="27" t="e">
        <f t="shared" si="27"/>
        <v>#REF!</v>
      </c>
      <c r="AQ106" s="31" t="e">
        <f t="shared" si="41"/>
        <v>#REF!</v>
      </c>
      <c r="AR106" t="e">
        <f t="shared" si="33"/>
        <v>#REF!</v>
      </c>
    </row>
    <row r="107" spans="1:44" ht="18" customHeight="1">
      <c r="A107">
        <v>106</v>
      </c>
      <c r="B107" t="s">
        <v>433</v>
      </c>
      <c r="C107" t="s">
        <v>434</v>
      </c>
      <c r="D107">
        <v>263</v>
      </c>
      <c r="E107" t="s">
        <v>822</v>
      </c>
      <c r="F107" s="42" t="s">
        <v>874</v>
      </c>
      <c r="G107" s="42" t="s">
        <v>874</v>
      </c>
      <c r="H107" s="42" t="s">
        <v>874</v>
      </c>
      <c r="I107" t="s">
        <v>190</v>
      </c>
      <c r="J107" t="s">
        <v>431</v>
      </c>
      <c r="L107" t="s">
        <v>822</v>
      </c>
      <c r="M107" s="57" t="s">
        <v>874</v>
      </c>
      <c r="O107" s="30" t="s">
        <v>874</v>
      </c>
      <c r="Q107" s="30" t="s">
        <v>874</v>
      </c>
      <c r="R107" t="s">
        <v>1032</v>
      </c>
      <c r="T107" t="s">
        <v>477</v>
      </c>
      <c r="U107" t="s">
        <v>477</v>
      </c>
      <c r="V107" t="str">
        <f t="shared" si="39"/>
        <v>Dubnium</v>
      </c>
      <c r="W107" t="str">
        <f t="shared" si="35"/>
        <v>Bohrium</v>
      </c>
      <c r="X107" t="s">
        <v>809</v>
      </c>
      <c r="Y107" s="16" t="s">
        <v>434</v>
      </c>
      <c r="Z107" s="35"/>
      <c r="AA107" s="16"/>
      <c r="AB107" s="27" t="s">
        <v>289</v>
      </c>
      <c r="AC107" s="27" t="str">
        <f t="shared" si="36"/>
        <v>#REDIRECT [[Seaborgium]]</v>
      </c>
      <c r="AD107" s="7" t="s">
        <v>167</v>
      </c>
      <c r="AE107" t="s">
        <v>358</v>
      </c>
      <c r="AF107" t="str">
        <f t="shared" si="38"/>
        <v>Seaborgium</v>
      </c>
      <c r="AI107" t="e">
        <f>CONCATENATE(" wurde ",#REF!," in ",J107," durch ",I107," entdeckt.")</f>
        <v>#REF!</v>
      </c>
      <c r="AL107">
        <f t="shared" si="40"/>
        <v>106</v>
      </c>
      <c r="AM107" t="s">
        <v>1042</v>
      </c>
      <c r="AN107" s="27" t="e">
        <f>CONCATENATE("{{Element|Ordnungszahl=",A107,"|Symbol=",B107,"|Name=",C107,"|Atommasse=",#REF!,"|EN=",E107,"|BP=",F107,"|MP=",G107,"|Dichte=",H107,"|Ionenradius=",K107,"|Ivolt=",M107,"|Aradius=",L107)</f>
        <v>#REF!</v>
      </c>
      <c r="AO107" s="27" t="e">
        <f>CONCATENATE("|Enthalpie=",#REF!,"|IVolt2=",O107,"|Wert=",P107,"|IVolt3=",Q107,"|Farbe=",R107,"|Flamme=",S107,"|Elektronenkonfiguration=",T107,"|EK-Wiki=",U107,"|pre=",V107,"|next=",W107,"|Metall=",X107,"|E-Name=",Y107,"|L-Name=",Z107)</f>
        <v>#REF!</v>
      </c>
      <c r="AP107" s="27" t="e">
        <f t="shared" si="27"/>
        <v>#REF!</v>
      </c>
      <c r="AQ107" s="31" t="e">
        <f t="shared" si="41"/>
        <v>#REF!</v>
      </c>
      <c r="AR107" t="e">
        <f t="shared" si="33"/>
        <v>#REF!</v>
      </c>
    </row>
    <row r="108" spans="1:44" ht="18" customHeight="1">
      <c r="A108">
        <v>107</v>
      </c>
      <c r="B108" t="s">
        <v>435</v>
      </c>
      <c r="C108" t="s">
        <v>577</v>
      </c>
      <c r="D108">
        <v>264</v>
      </c>
      <c r="E108" t="s">
        <v>822</v>
      </c>
      <c r="F108" s="42" t="s">
        <v>874</v>
      </c>
      <c r="G108" s="42" t="s">
        <v>874</v>
      </c>
      <c r="H108" s="42" t="s">
        <v>874</v>
      </c>
      <c r="I108" t="s">
        <v>190</v>
      </c>
      <c r="J108" t="s">
        <v>431</v>
      </c>
      <c r="L108" t="s">
        <v>822</v>
      </c>
      <c r="M108" s="57" t="s">
        <v>874</v>
      </c>
      <c r="O108" s="30" t="s">
        <v>874</v>
      </c>
      <c r="Q108" s="30" t="s">
        <v>874</v>
      </c>
      <c r="R108" t="s">
        <v>1032</v>
      </c>
      <c r="T108" t="s">
        <v>477</v>
      </c>
      <c r="U108" t="s">
        <v>477</v>
      </c>
      <c r="V108" t="str">
        <f t="shared" si="39"/>
        <v>Seaborgium</v>
      </c>
      <c r="W108" t="str">
        <f t="shared" ref="W108" si="42">C109</f>
        <v>Hassium</v>
      </c>
      <c r="X108" t="s">
        <v>809</v>
      </c>
      <c r="Y108" s="16" t="s">
        <v>577</v>
      </c>
      <c r="Z108" s="35"/>
      <c r="AA108" s="16"/>
      <c r="AB108" s="27" t="s">
        <v>290</v>
      </c>
      <c r="AC108" s="27" t="str">
        <f t="shared" ref="AC108:AC118" si="43">CONCATENATE("#REDIRECT [[",C108,"]]")</f>
        <v>#REDIRECT [[Bohrium]]</v>
      </c>
      <c r="AD108" s="7" t="s">
        <v>167</v>
      </c>
      <c r="AE108" t="s">
        <v>362</v>
      </c>
      <c r="AF108" t="str">
        <f t="shared" si="38"/>
        <v>Bohrium</v>
      </c>
      <c r="AI108" t="e">
        <f>CONCATENATE(" wurde ",#REF!," in ",J108," durch ",I108," entdeckt.")</f>
        <v>#REF!</v>
      </c>
      <c r="AL108">
        <f t="shared" si="40"/>
        <v>107</v>
      </c>
      <c r="AM108" t="s">
        <v>1042</v>
      </c>
      <c r="AN108" s="27" t="e">
        <f>CONCATENATE("{{Element|Ordnungszahl=",A108,"|Symbol=",B108,"|Name=",C108,"|Atommasse=",#REF!,"|EN=",E108,"|BP=",F108,"|MP=",G108,"|Dichte=",H108,"|Ionenradius=",K108,"|Ivolt=",M108,"|Aradius=",L108)</f>
        <v>#REF!</v>
      </c>
      <c r="AO108" s="27" t="e">
        <f>CONCATENATE("|Enthalpie=",#REF!,"|IVolt2=",O108,"|Wert=",P108,"|IVolt3=",Q108,"|Farbe=",R108,"|Flamme=",S108,"|Elektronenkonfiguration=",T108,"|EK-Wiki=",U108,"|pre=",V108,"|next=",W108,"|Metall=",X108,"|E-Name=",Y108,"|L-Name=",Z108)</f>
        <v>#REF!</v>
      </c>
      <c r="AP108" s="27" t="e">
        <f t="shared" si="27"/>
        <v>#REF!</v>
      </c>
      <c r="AQ108" s="31" t="e">
        <f t="shared" si="41"/>
        <v>#REF!</v>
      </c>
      <c r="AR108" t="e">
        <f t="shared" si="33"/>
        <v>#REF!</v>
      </c>
    </row>
    <row r="109" spans="1:44" ht="18" customHeight="1">
      <c r="A109">
        <v>108</v>
      </c>
      <c r="B109" t="s">
        <v>436</v>
      </c>
      <c r="C109" t="s">
        <v>578</v>
      </c>
      <c r="D109">
        <v>265</v>
      </c>
      <c r="E109" t="s">
        <v>822</v>
      </c>
      <c r="F109" s="42" t="s">
        <v>874</v>
      </c>
      <c r="G109" s="42" t="s">
        <v>874</v>
      </c>
      <c r="H109" s="42" t="s">
        <v>874</v>
      </c>
      <c r="I109" t="s">
        <v>191</v>
      </c>
      <c r="J109" t="s">
        <v>926</v>
      </c>
      <c r="L109" t="s">
        <v>822</v>
      </c>
      <c r="M109" s="57" t="s">
        <v>874</v>
      </c>
      <c r="O109" s="30" t="s">
        <v>874</v>
      </c>
      <c r="Q109" s="30" t="s">
        <v>874</v>
      </c>
      <c r="R109" t="s">
        <v>1032</v>
      </c>
      <c r="T109" t="s">
        <v>477</v>
      </c>
      <c r="U109" t="s">
        <v>477</v>
      </c>
      <c r="V109" t="str">
        <f t="shared" si="39"/>
        <v>Bohrium</v>
      </c>
      <c r="W109" t="str">
        <f t="shared" ref="W109:W118" si="44">C110</f>
        <v>Meitnerium</v>
      </c>
      <c r="X109" t="s">
        <v>809</v>
      </c>
      <c r="Y109" s="16" t="s">
        <v>578</v>
      </c>
      <c r="Z109" s="35"/>
      <c r="AA109" s="16"/>
      <c r="AB109" s="27" t="s">
        <v>291</v>
      </c>
      <c r="AC109" s="27" t="str">
        <f t="shared" si="43"/>
        <v>#REDIRECT [[Hassium]]</v>
      </c>
      <c r="AD109" s="7" t="s">
        <v>167</v>
      </c>
      <c r="AE109" t="s">
        <v>365</v>
      </c>
      <c r="AF109" t="str">
        <f t="shared" si="38"/>
        <v>Hassium</v>
      </c>
      <c r="AI109" t="e">
        <f>CONCATENATE(" wurde ",#REF!," in ",J109," durch ",I109," entdeckt.")</f>
        <v>#REF!</v>
      </c>
      <c r="AL109">
        <f t="shared" si="40"/>
        <v>108</v>
      </c>
      <c r="AM109" t="s">
        <v>1042</v>
      </c>
      <c r="AN109" s="27" t="e">
        <f>CONCATENATE("{{Element|Ordnungszahl=",A109,"|Symbol=",B109,"|Name=",C109,"|Atommasse=",#REF!,"|EN=",E109,"|BP=",F109,"|MP=",G109,"|Dichte=",H109,"|Ionenradius=",K109,"|Ivolt=",M109,"|Aradius=",L109)</f>
        <v>#REF!</v>
      </c>
      <c r="AO109" s="27" t="e">
        <f>CONCATENATE("|Enthalpie=",#REF!,"|IVolt2=",O109,"|Wert=",P109,"|IVolt3=",Q109,"|Farbe=",R109,"|Flamme=",S109,"|Elektronenkonfiguration=",T109,"|EK-Wiki=",U109,"|pre=",V109,"|next=",W109,"|Metall=",X109,"|E-Name=",Y109,"|L-Name=",Z109)</f>
        <v>#REF!</v>
      </c>
      <c r="AP109" s="27" t="e">
        <f t="shared" si="27"/>
        <v>#REF!</v>
      </c>
      <c r="AQ109" s="31" t="e">
        <f t="shared" si="41"/>
        <v>#REF!</v>
      </c>
      <c r="AR109" t="e">
        <f t="shared" si="33"/>
        <v>#REF!</v>
      </c>
    </row>
    <row r="110" spans="1:44" ht="18" customHeight="1">
      <c r="A110">
        <v>109</v>
      </c>
      <c r="B110" t="s">
        <v>437</v>
      </c>
      <c r="C110" t="s">
        <v>579</v>
      </c>
      <c r="D110">
        <v>266</v>
      </c>
      <c r="E110" t="s">
        <v>822</v>
      </c>
      <c r="F110" s="42" t="s">
        <v>874</v>
      </c>
      <c r="G110" s="42" t="s">
        <v>874</v>
      </c>
      <c r="H110" s="42" t="s">
        <v>874</v>
      </c>
      <c r="I110" t="s">
        <v>191</v>
      </c>
      <c r="J110" t="s">
        <v>926</v>
      </c>
      <c r="L110" t="s">
        <v>822</v>
      </c>
      <c r="M110" s="57" t="s">
        <v>874</v>
      </c>
      <c r="O110" s="30" t="s">
        <v>874</v>
      </c>
      <c r="Q110" s="30" t="s">
        <v>874</v>
      </c>
      <c r="R110" t="s">
        <v>1032</v>
      </c>
      <c r="T110" t="s">
        <v>477</v>
      </c>
      <c r="U110" t="s">
        <v>477</v>
      </c>
      <c r="V110" t="str">
        <f t="shared" si="39"/>
        <v>Hassium</v>
      </c>
      <c r="W110" t="str">
        <f t="shared" si="44"/>
        <v>Darmstadtium</v>
      </c>
      <c r="X110" t="s">
        <v>809</v>
      </c>
      <c r="Y110" s="16" t="s">
        <v>579</v>
      </c>
      <c r="Z110" s="35"/>
      <c r="AA110" s="16"/>
      <c r="AB110" s="27" t="s">
        <v>292</v>
      </c>
      <c r="AC110" s="27" t="str">
        <f t="shared" si="43"/>
        <v>#REDIRECT [[Meitnerium]]</v>
      </c>
      <c r="AD110" s="7" t="s">
        <v>167</v>
      </c>
      <c r="AE110" t="s">
        <v>368</v>
      </c>
      <c r="AF110" t="str">
        <f t="shared" si="38"/>
        <v>Meitnerium</v>
      </c>
      <c r="AI110" t="e">
        <f>CONCATENATE(" wurde ",#REF!," in ",J110," durch ",I110," entdeckt.")</f>
        <v>#REF!</v>
      </c>
      <c r="AL110">
        <f t="shared" si="40"/>
        <v>109</v>
      </c>
      <c r="AM110" t="s">
        <v>1042</v>
      </c>
      <c r="AN110" s="27" t="e">
        <f>CONCATENATE("{{Element|Ordnungszahl=",A110,"|Symbol=",B110,"|Name=",C110,"|Atommasse=",#REF!,"|EN=",E110,"|BP=",F110,"|MP=",G110,"|Dichte=",H110,"|Ionenradius=",K110,"|Ivolt=",M110,"|Aradius=",L110)</f>
        <v>#REF!</v>
      </c>
      <c r="AO110" s="27" t="e">
        <f>CONCATENATE("|Enthalpie=",#REF!,"|IVolt2=",O110,"|Wert=",P110,"|IVolt3=",Q110,"|Farbe=",R110,"|Flamme=",S110,"|Elektronenkonfiguration=",T110,"|EK-Wiki=",U110,"|pre=",V110,"|next=",W110,"|Metall=",X110,"|E-Name=",Y110,"|L-Name=",Z110)</f>
        <v>#REF!</v>
      </c>
      <c r="AP110" s="27" t="e">
        <f t="shared" si="27"/>
        <v>#REF!</v>
      </c>
      <c r="AQ110" s="31" t="e">
        <f t="shared" si="41"/>
        <v>#REF!</v>
      </c>
      <c r="AR110" t="e">
        <f t="shared" si="33"/>
        <v>#REF!</v>
      </c>
    </row>
    <row r="111" spans="1:44" ht="18" customHeight="1">
      <c r="A111">
        <v>110</v>
      </c>
      <c r="B111" t="s">
        <v>580</v>
      </c>
      <c r="C111" t="s">
        <v>581</v>
      </c>
      <c r="D111">
        <v>282</v>
      </c>
      <c r="E111" t="s">
        <v>822</v>
      </c>
      <c r="F111" s="42" t="s">
        <v>874</v>
      </c>
      <c r="G111" s="42" t="s">
        <v>874</v>
      </c>
      <c r="H111" s="42" t="s">
        <v>874</v>
      </c>
      <c r="I111" t="s">
        <v>191</v>
      </c>
      <c r="J111" t="s">
        <v>926</v>
      </c>
      <c r="L111" t="s">
        <v>822</v>
      </c>
      <c r="M111" s="57" t="s">
        <v>874</v>
      </c>
      <c r="O111" s="30" t="s">
        <v>874</v>
      </c>
      <c r="Q111" s="30" t="s">
        <v>874</v>
      </c>
      <c r="R111" t="s">
        <v>1032</v>
      </c>
      <c r="T111" t="s">
        <v>477</v>
      </c>
      <c r="U111" t="s">
        <v>477</v>
      </c>
      <c r="V111" t="str">
        <f t="shared" si="39"/>
        <v>Meitnerium</v>
      </c>
      <c r="W111" t="str">
        <f t="shared" si="44"/>
        <v>Roentgenium</v>
      </c>
      <c r="X111" t="s">
        <v>809</v>
      </c>
      <c r="Y111" s="16" t="s">
        <v>581</v>
      </c>
      <c r="Z111" s="35"/>
      <c r="AA111" s="16"/>
      <c r="AB111" s="27" t="s">
        <v>293</v>
      </c>
      <c r="AC111" s="27" t="str">
        <f t="shared" si="43"/>
        <v>#REDIRECT [[Darmstadtium]]</v>
      </c>
      <c r="AD111" s="7" t="s">
        <v>167</v>
      </c>
      <c r="AE111" t="s">
        <v>371</v>
      </c>
      <c r="AF111" t="str">
        <f t="shared" si="38"/>
        <v>Darmstadtium</v>
      </c>
      <c r="AI111" t="e">
        <f>CONCATENATE(" wurde ",#REF!," in ",J111," durch ",I111," entdeckt.")</f>
        <v>#REF!</v>
      </c>
      <c r="AL111">
        <f t="shared" si="40"/>
        <v>110</v>
      </c>
      <c r="AM111" t="s">
        <v>1042</v>
      </c>
      <c r="AN111" s="27" t="e">
        <f>CONCATENATE("{{Element|Ordnungszahl=",A111,"|Symbol=",B111,"|Name=",C111,"|Atommasse=",#REF!,"|EN=",E111,"|BP=",F111,"|MP=",G111,"|Dichte=",H111,"|Ionenradius=",K111,"|Ivolt=",M111,"|Aradius=",L111)</f>
        <v>#REF!</v>
      </c>
      <c r="AO111" s="27" t="e">
        <f>CONCATENATE("|Enthalpie=",#REF!,"|IVolt2=",O111,"|Wert=",P111,"|IVolt3=",Q111,"|Farbe=",R111,"|Flamme=",S111,"|Elektronenkonfiguration=",T111,"|EK-Wiki=",U111,"|pre=",V111,"|next=",W111,"|Metall=",X111,"|E-Name=",Y111,"|L-Name=",Z111)</f>
        <v>#REF!</v>
      </c>
      <c r="AP111" s="27" t="e">
        <f t="shared" si="27"/>
        <v>#REF!</v>
      </c>
      <c r="AQ111" s="31" t="e">
        <f t="shared" si="41"/>
        <v>#REF!</v>
      </c>
      <c r="AR111" t="e">
        <f t="shared" si="33"/>
        <v>#REF!</v>
      </c>
    </row>
    <row r="112" spans="1:44" ht="18" customHeight="1">
      <c r="A112">
        <v>111</v>
      </c>
      <c r="B112" t="s">
        <v>583</v>
      </c>
      <c r="C112" t="s">
        <v>582</v>
      </c>
      <c r="D112">
        <v>280</v>
      </c>
      <c r="E112" t="s">
        <v>822</v>
      </c>
      <c r="F112" s="42" t="s">
        <v>874</v>
      </c>
      <c r="G112" s="42" t="s">
        <v>874</v>
      </c>
      <c r="H112" s="42" t="s">
        <v>874</v>
      </c>
      <c r="I112" t="s">
        <v>191</v>
      </c>
      <c r="J112" t="s">
        <v>926</v>
      </c>
      <c r="L112" t="s">
        <v>822</v>
      </c>
      <c r="M112" s="57" t="s">
        <v>874</v>
      </c>
      <c r="O112" s="30" t="s">
        <v>874</v>
      </c>
      <c r="Q112" s="30" t="s">
        <v>874</v>
      </c>
      <c r="R112" t="s">
        <v>1032</v>
      </c>
      <c r="T112" t="s">
        <v>477</v>
      </c>
      <c r="U112" t="s">
        <v>477</v>
      </c>
      <c r="V112" t="str">
        <f t="shared" si="39"/>
        <v>Darmstadtium</v>
      </c>
      <c r="W112" t="str">
        <f t="shared" si="44"/>
        <v>Copernicium</v>
      </c>
      <c r="X112" t="s">
        <v>809</v>
      </c>
      <c r="Y112" s="16" t="s">
        <v>582</v>
      </c>
      <c r="Z112" s="35"/>
      <c r="AA112" s="16"/>
      <c r="AB112" s="27" t="s">
        <v>294</v>
      </c>
      <c r="AC112" s="27" t="str">
        <f t="shared" si="43"/>
        <v>#REDIRECT [[Roentgenium]]</v>
      </c>
      <c r="AD112" s="7" t="s">
        <v>167</v>
      </c>
      <c r="AE112" t="s">
        <v>374</v>
      </c>
      <c r="AF112" t="str">
        <f t="shared" si="38"/>
        <v>Roentgenium</v>
      </c>
      <c r="AI112" t="e">
        <f>CONCATENATE(" wurde ",#REF!," in ",J112," durch ",I112," entdeckt.")</f>
        <v>#REF!</v>
      </c>
      <c r="AL112">
        <f t="shared" si="40"/>
        <v>111</v>
      </c>
      <c r="AM112" t="s">
        <v>1042</v>
      </c>
      <c r="AN112" s="27" t="e">
        <f>CONCATENATE("{{Element|Ordnungszahl=",A112,"|Symbol=",B112,"|Name=",C112,"|Atommasse=",#REF!,"|EN=",E112,"|BP=",F112,"|MP=",G112,"|Dichte=",H112,"|Ionenradius=",K112,"|Ivolt=",M112,"|Aradius=",L112)</f>
        <v>#REF!</v>
      </c>
      <c r="AO112" s="27" t="e">
        <f>CONCATENATE("|Enthalpie=",#REF!,"|IVolt2=",O112,"|Wert=",P112,"|IVolt3=",Q112,"|Farbe=",R112,"|Flamme=",S112,"|Elektronenkonfiguration=",T112,"|EK-Wiki=",U112,"|pre=",V112,"|next=",W112,"|Metall=",X112,"|E-Name=",Y112,"|L-Name=",Z112)</f>
        <v>#REF!</v>
      </c>
      <c r="AP112" s="27" t="e">
        <f t="shared" si="27"/>
        <v>#REF!</v>
      </c>
      <c r="AQ112" s="31" t="e">
        <f t="shared" si="41"/>
        <v>#REF!</v>
      </c>
      <c r="AR112" t="e">
        <f t="shared" si="33"/>
        <v>#REF!</v>
      </c>
    </row>
    <row r="113" spans="1:44" ht="18" customHeight="1">
      <c r="A113">
        <v>112</v>
      </c>
      <c r="B113" t="s">
        <v>1054</v>
      </c>
      <c r="C113" t="s">
        <v>1044</v>
      </c>
      <c r="D113">
        <v>285</v>
      </c>
      <c r="F113" s="42" t="s">
        <v>874</v>
      </c>
      <c r="G113" s="42" t="s">
        <v>874</v>
      </c>
      <c r="H113" s="42" t="s">
        <v>874</v>
      </c>
      <c r="L113" t="s">
        <v>822</v>
      </c>
      <c r="M113" s="57" t="s">
        <v>874</v>
      </c>
      <c r="O113" s="30" t="s">
        <v>874</v>
      </c>
      <c r="Q113" s="30" t="s">
        <v>874</v>
      </c>
      <c r="T113" t="s">
        <v>477</v>
      </c>
      <c r="U113" t="s">
        <v>477</v>
      </c>
      <c r="V113" t="str">
        <f t="shared" si="39"/>
        <v>Roentgenium</v>
      </c>
      <c r="W113" t="str">
        <f t="shared" si="44"/>
        <v xml:space="preserve">Ununtrium </v>
      </c>
      <c r="X113" t="s">
        <v>809</v>
      </c>
      <c r="Y113" t="s">
        <v>584</v>
      </c>
      <c r="AB113" s="27" t="s">
        <v>973</v>
      </c>
      <c r="AC113" s="27" t="str">
        <f t="shared" si="43"/>
        <v>#REDIRECT [[Copernicium]]</v>
      </c>
      <c r="AD113" s="7" t="s">
        <v>167</v>
      </c>
      <c r="AE113" t="s">
        <v>377</v>
      </c>
      <c r="AF113" t="str">
        <f t="shared" si="38"/>
        <v>Copernicium</v>
      </c>
      <c r="AL113">
        <f t="shared" si="40"/>
        <v>112</v>
      </c>
      <c r="AM113" t="s">
        <v>1042</v>
      </c>
      <c r="AN113" s="27" t="e">
        <f>CONCATENATE("{{Element|Ordnungszahl=",A113,"|Symbol=",B113,"|Name=",C113,"|Atommasse=",#REF!,"|EN=",E113,"|BP=",F113,"|MP=",G113,"|Dichte=",H113,"|Ionenradius=",K113,"|Ivolt=",M113,"|Aradius=",L113)</f>
        <v>#REF!</v>
      </c>
      <c r="AO113" s="27" t="e">
        <f>CONCATENATE("|Enthalpie=",#REF!,"|IVolt2=",O113,"|Wert=",P113,"|IVolt3=",Q113,"|Farbe=",R113,"|Flamme=",S113,"|Elektronenkonfiguration=",T113,"|EK-Wiki=",U113,"|pre=",V113,"|next=",W113,"|Metall=",X113,"|E-Name=",Y113,"|L-Name=",Z113)</f>
        <v>#REF!</v>
      </c>
      <c r="AP113" s="27" t="str">
        <f t="shared" si="27"/>
        <v>|Verwendung=|Wortherkunft=Copernicium wurde erstmals 1996 bei der GSI in Darmstadt erzeugt.|L-Abk. bzw. redirect=#REDIRECT [[Copernicium]]|radioaktiv=[[radioaktiv]]es&amp;nbsp;|hoch=Quecksilber|runter=Copernicium|Bild-Element=|Bild-Verwendung=|www=|E-Gruppe=|Sonstiges-kurz=|OZ3=112|WL=nichda|Text= }}
[[Kategorie:Chemie]][[Kategorie:Chemikalien]]</v>
      </c>
      <c r="AQ113" s="31" t="e">
        <f t="shared" si="41"/>
        <v>#REF!</v>
      </c>
      <c r="AR113" t="str">
        <f t="shared" si="33"/>
        <v xml:space="preserve"> http://www.webelements.com/webelements/elements/media/element-pics/Cn.jpg</v>
      </c>
    </row>
    <row r="114" spans="1:44" ht="18" customHeight="1">
      <c r="A114">
        <v>113</v>
      </c>
      <c r="B114" t="s">
        <v>585</v>
      </c>
      <c r="C114" t="s">
        <v>586</v>
      </c>
      <c r="D114" s="42" t="s">
        <v>874</v>
      </c>
      <c r="F114" s="42" t="s">
        <v>874</v>
      </c>
      <c r="G114" s="42" t="s">
        <v>874</v>
      </c>
      <c r="H114" s="42" t="s">
        <v>874</v>
      </c>
      <c r="L114" t="s">
        <v>822</v>
      </c>
      <c r="M114" s="57" t="s">
        <v>874</v>
      </c>
      <c r="O114" s="30" t="s">
        <v>874</v>
      </c>
      <c r="Q114" s="30" t="s">
        <v>874</v>
      </c>
      <c r="T114" t="s">
        <v>477</v>
      </c>
      <c r="U114" t="s">
        <v>477</v>
      </c>
      <c r="V114" t="str">
        <f t="shared" si="39"/>
        <v>Copernicium</v>
      </c>
      <c r="W114" t="str">
        <f t="shared" si="44"/>
        <v>Flerovium</v>
      </c>
      <c r="X114" t="s">
        <v>809</v>
      </c>
      <c r="Y114" t="s">
        <v>586</v>
      </c>
      <c r="AB114" s="27" t="s">
        <v>295</v>
      </c>
      <c r="AC114" s="27" t="str">
        <f t="shared" si="43"/>
        <v>#REDIRECT [[Ununtrium ]]</v>
      </c>
      <c r="AD114" s="7" t="s">
        <v>167</v>
      </c>
      <c r="AE114" t="s">
        <v>380</v>
      </c>
      <c r="AF114" t="str">
        <f t="shared" si="38"/>
        <v xml:space="preserve">Ununtrium </v>
      </c>
      <c r="AI114" t="e">
        <f>CONCATENATE(" wurde ",#REF!," in ",J114," durch ",I114," entdeckt.")</f>
        <v>#REF!</v>
      </c>
      <c r="AL114">
        <f t="shared" si="40"/>
        <v>113</v>
      </c>
      <c r="AM114" t="s">
        <v>1042</v>
      </c>
      <c r="AN114" s="27" t="e">
        <f>CONCATENATE("{{Element|Ordnungszahl=",A114,"|Symbol=",B114,"|Name=",C114,"|Atommasse=",#REF!,"|EN=",E114,"|BP=",F114,"|MP=",G114,"|Dichte=",H114,"|Ionenradius=",K114,"|Ivolt=",M114,"|Aradius=",L114)</f>
        <v>#REF!</v>
      </c>
      <c r="AO114" s="27" t="e">
        <f>CONCATENATE("|Enthalpie=",#REF!,"|IVolt2=",O114,"|Wert=",P114,"|IVolt3=",Q114,"|Farbe=",R114,"|Flamme=",S114,"|Elektronenkonfiguration=",T114,"|EK-Wiki=",U114,"|pre=",V114,"|next=",W114,"|Metall=",X114,"|E-Name=",Y114,"|L-Name=",Z114)</f>
        <v>#REF!</v>
      </c>
      <c r="AP114" s="27" t="e">
        <f t="shared" si="27"/>
        <v>#REF!</v>
      </c>
      <c r="AQ114" s="31" t="e">
        <f t="shared" si="41"/>
        <v>#REF!</v>
      </c>
      <c r="AR114" t="e">
        <f t="shared" si="33"/>
        <v>#REF!</v>
      </c>
    </row>
    <row r="115" spans="1:44" ht="18" customHeight="1">
      <c r="A115">
        <v>114</v>
      </c>
      <c r="B115" t="s">
        <v>1059</v>
      </c>
      <c r="C115" s="42" t="s">
        <v>1060</v>
      </c>
      <c r="D115">
        <v>289</v>
      </c>
      <c r="F115" s="42" t="s">
        <v>874</v>
      </c>
      <c r="G115" s="42" t="s">
        <v>874</v>
      </c>
      <c r="H115" s="42" t="s">
        <v>874</v>
      </c>
      <c r="L115" t="s">
        <v>822</v>
      </c>
      <c r="M115" s="57" t="s">
        <v>874</v>
      </c>
      <c r="O115" s="30" t="s">
        <v>874</v>
      </c>
      <c r="Q115" s="30" t="s">
        <v>874</v>
      </c>
      <c r="V115" t="str">
        <f t="shared" si="39"/>
        <v xml:space="preserve">Ununtrium </v>
      </c>
      <c r="W115" t="str">
        <f t="shared" si="44"/>
        <v>Ununpentium</v>
      </c>
      <c r="X115" t="s">
        <v>809</v>
      </c>
      <c r="Y115" t="s">
        <v>587</v>
      </c>
      <c r="AB115" s="27" t="s">
        <v>296</v>
      </c>
      <c r="AC115" s="27" t="str">
        <f t="shared" si="43"/>
        <v>#REDIRECT [[Flerovium]]</v>
      </c>
      <c r="AD115" s="7" t="s">
        <v>167</v>
      </c>
      <c r="AE115" t="s">
        <v>384</v>
      </c>
      <c r="AF115" t="str">
        <f t="shared" si="38"/>
        <v>Flerovium</v>
      </c>
      <c r="AI115" t="e">
        <f>CONCATENATE(" wurde ",#REF!," in ",J115," durch ",I115," entdeckt.")</f>
        <v>#REF!</v>
      </c>
      <c r="AL115">
        <f t="shared" si="40"/>
        <v>114</v>
      </c>
      <c r="AM115" t="s">
        <v>1042</v>
      </c>
      <c r="AN115" s="27" t="e">
        <f>CONCATENATE("{{Element|Ordnungszahl=",A115,"|Symbol=",B115,"|Name=",C115,"|Atommasse=",#REF!,"|EN=",E115,"|BP=",F115,"|MP=",G115,"|Dichte=",H115,"|Ionenradius=",K115,"|Ivolt=",M115,"|Aradius=",L115)</f>
        <v>#REF!</v>
      </c>
      <c r="AO115" s="27" t="e">
        <f>CONCATENATE("|Enthalpie=",#REF!,"|IVolt2=",O115,"|Wert=",P115,"|IVolt3=",Q115,"|Farbe=",R115,"|Flamme=",S115,"|Elektronenkonfiguration=",T115,"|EK-Wiki=",U115,"|pre=",V115,"|next=",W115,"|Metall=",X115,"|E-Name=",Y115,"|L-Name=",Z115)</f>
        <v>#REF!</v>
      </c>
      <c r="AP115" s="27" t="e">
        <f t="shared" si="27"/>
        <v>#REF!</v>
      </c>
      <c r="AQ115" s="31" t="e">
        <f t="shared" si="41"/>
        <v>#REF!</v>
      </c>
      <c r="AR115" t="e">
        <f t="shared" si="33"/>
        <v>#REF!</v>
      </c>
    </row>
    <row r="116" spans="1:44" ht="18" customHeight="1">
      <c r="A116">
        <v>115</v>
      </c>
      <c r="B116" t="s">
        <v>590</v>
      </c>
      <c r="C116" t="s">
        <v>593</v>
      </c>
      <c r="D116">
        <v>291</v>
      </c>
      <c r="F116" s="42" t="s">
        <v>874</v>
      </c>
      <c r="G116" s="42" t="s">
        <v>874</v>
      </c>
      <c r="H116" s="42" t="s">
        <v>874</v>
      </c>
      <c r="J116" s="16"/>
      <c r="L116" s="16"/>
      <c r="M116" s="57" t="s">
        <v>874</v>
      </c>
      <c r="O116" s="30" t="s">
        <v>874</v>
      </c>
      <c r="Q116" s="30" t="s">
        <v>874</v>
      </c>
      <c r="V116" t="str">
        <f t="shared" si="39"/>
        <v>Flerovium</v>
      </c>
      <c r="W116" t="str">
        <f t="shared" si="44"/>
        <v>Livermorium</v>
      </c>
      <c r="X116" t="s">
        <v>809</v>
      </c>
      <c r="Y116" t="s">
        <v>593</v>
      </c>
      <c r="AB116" s="27" t="s">
        <v>4</v>
      </c>
      <c r="AC116" s="27" t="str">
        <f>CONCATENATE("#REDIRECT [[",C116,"]]")</f>
        <v>#REDIRECT [[Ununpentium]]</v>
      </c>
      <c r="AD116" s="7" t="s">
        <v>167</v>
      </c>
      <c r="AE116" t="s">
        <v>386</v>
      </c>
      <c r="AF116" t="str">
        <f t="shared" si="38"/>
        <v>Ununpentium</v>
      </c>
      <c r="AI116" t="e">
        <f>CONCATENATE(" wurde ",#REF!," in ",J116," durch ",I116," entdeckt.")</f>
        <v>#REF!</v>
      </c>
      <c r="AL116">
        <f t="shared" si="40"/>
        <v>115</v>
      </c>
      <c r="AM116" t="s">
        <v>1042</v>
      </c>
      <c r="AN116" s="27" t="e">
        <f>CONCATENATE("{{Element|Ordnungszahl=",A116,"|Symbol=",B116,"|Name=",C116,"|Atommasse=",#REF!,"|EN=",E116,"|BP=",F116,"|MP=",G116,"|Dichte=",H116,"|Ionenradius=",K116,"|Ivolt=",M116,"|Aradius=",L116)</f>
        <v>#REF!</v>
      </c>
      <c r="AO116" s="27" t="e">
        <f>CONCATENATE("|Enthalpie=",#REF!,"|IVolt2=",O116,"|Wert=",P116,"|IVolt3=",Q116,"|Farbe=",R116,"|Flamme=",S116,"|Elektronenkonfiguration=",T116,"|EK-Wiki=",U116,"|pre=",V116,"|next=",W116,"|Metall=",X116,"|E-Name=",Y116,"|L-Name=",Z116)</f>
        <v>#REF!</v>
      </c>
      <c r="AP116" s="27" t="e">
        <f t="shared" si="27"/>
        <v>#REF!</v>
      </c>
      <c r="AQ116" s="31" t="e">
        <f t="shared" si="41"/>
        <v>#REF!</v>
      </c>
      <c r="AR116" t="e">
        <f t="shared" si="33"/>
        <v>#REF!</v>
      </c>
    </row>
    <row r="117" spans="1:44" ht="18" customHeight="1">
      <c r="A117">
        <v>116</v>
      </c>
      <c r="B117" t="s">
        <v>1062</v>
      </c>
      <c r="C117" s="42" t="s">
        <v>1061</v>
      </c>
      <c r="D117">
        <v>293</v>
      </c>
      <c r="F117" s="42" t="s">
        <v>874</v>
      </c>
      <c r="G117" s="42" t="s">
        <v>874</v>
      </c>
      <c r="H117" s="42" t="s">
        <v>874</v>
      </c>
      <c r="J117" s="16"/>
      <c r="M117" s="57" t="s">
        <v>874</v>
      </c>
      <c r="O117" s="30" t="s">
        <v>874</v>
      </c>
      <c r="Q117" s="30" t="s">
        <v>874</v>
      </c>
      <c r="V117" t="str">
        <f t="shared" si="39"/>
        <v>Ununpentium</v>
      </c>
      <c r="W117" t="str">
        <f t="shared" si="44"/>
        <v>Ununseptium</v>
      </c>
      <c r="X117" t="s">
        <v>809</v>
      </c>
      <c r="Y117" t="s">
        <v>588</v>
      </c>
      <c r="AB117" s="27" t="s">
        <v>297</v>
      </c>
      <c r="AC117" s="27" t="str">
        <f>CONCATENATE("#REDIRECT [[",C117,"]]")</f>
        <v>#REDIRECT [[Livermorium]]</v>
      </c>
      <c r="AD117" s="7" t="s">
        <v>167</v>
      </c>
      <c r="AE117" t="s">
        <v>390</v>
      </c>
      <c r="AF117" t="str">
        <f t="shared" si="38"/>
        <v>Livermorium</v>
      </c>
      <c r="AI117" t="e">
        <f>CONCATENATE(" wurde ",#REF!," in ",J117," durch ",I117," entdeckt.")</f>
        <v>#REF!</v>
      </c>
      <c r="AL117">
        <f t="shared" si="40"/>
        <v>116</v>
      </c>
      <c r="AM117" t="s">
        <v>1042</v>
      </c>
      <c r="AN117" s="27" t="e">
        <f>CONCATENATE("{{Element|Ordnungszahl=",A117,"|Symbol=",B117,"|Name=",C117,"|Atommasse=",#REF!,"|EN=",E117,"|BP=",F117,"|MP=",G117,"|Dichte=",H117,"|Ionenradius=",K117,"|Ivolt=",M117,"|Aradius=",L117)</f>
        <v>#REF!</v>
      </c>
      <c r="AO117" s="27" t="e">
        <f>CONCATENATE("|Enthalpie=",#REF!,"|IVolt2=",O117,"|Wert=",P117,"|IVolt3=",Q117,"|Farbe=",R117,"|Flamme=",S117,"|Elektronenkonfiguration=",T117,"|EK-Wiki=",U117,"|pre=",V117,"|next=",W117,"|Metall=",X117,"|E-Name=",Y117,"|L-Name=",Z117)</f>
        <v>#REF!</v>
      </c>
      <c r="AP117" s="27" t="e">
        <f t="shared" si="27"/>
        <v>#REF!</v>
      </c>
      <c r="AQ117" s="31" t="e">
        <f t="shared" si="41"/>
        <v>#REF!</v>
      </c>
      <c r="AR117" t="e">
        <f t="shared" si="33"/>
        <v>#REF!</v>
      </c>
    </row>
    <row r="118" spans="1:44" ht="18" customHeight="1">
      <c r="A118">
        <v>117</v>
      </c>
      <c r="B118" t="s">
        <v>595</v>
      </c>
      <c r="C118" t="s">
        <v>594</v>
      </c>
      <c r="F118" s="42" t="s">
        <v>874</v>
      </c>
      <c r="G118" s="42" t="s">
        <v>874</v>
      </c>
      <c r="H118" s="42" t="s">
        <v>874</v>
      </c>
      <c r="J118" s="16"/>
      <c r="M118" s="57" t="s">
        <v>874</v>
      </c>
      <c r="O118" s="30" t="s">
        <v>874</v>
      </c>
      <c r="Q118" s="30" t="s">
        <v>874</v>
      </c>
      <c r="V118" t="str">
        <f t="shared" si="39"/>
        <v>Livermorium</v>
      </c>
      <c r="W118" t="str">
        <f t="shared" si="44"/>
        <v>Ununoctium</v>
      </c>
      <c r="X118" t="s">
        <v>809</v>
      </c>
      <c r="Y118" t="s">
        <v>594</v>
      </c>
      <c r="AB118" s="27" t="s">
        <v>298</v>
      </c>
      <c r="AC118" s="27" t="str">
        <f t="shared" si="43"/>
        <v>#REDIRECT [[Ununseptium]]</v>
      </c>
      <c r="AD118" s="7" t="s">
        <v>167</v>
      </c>
      <c r="AE118" t="s">
        <v>392</v>
      </c>
      <c r="AF118" t="str">
        <f t="shared" si="38"/>
        <v>Ununseptium</v>
      </c>
      <c r="AI118" t="e">
        <f>CONCATENATE(" wurde ",#REF!," in ",J118," durch ",I118," entdeckt.")</f>
        <v>#REF!</v>
      </c>
      <c r="AL118">
        <f t="shared" si="40"/>
        <v>117</v>
      </c>
      <c r="AM118" t="s">
        <v>1042</v>
      </c>
      <c r="AN118" s="27" t="str">
        <f>CONCATENATE("{{Element|Ordnungszahl=",A118,"|Symbol=",B118,"|Name=",C118,"|Atommasse=",D118,"|EN=",E118,"|BP=",F118,"|MP=",G118,"|Dichte=",H118,"|Ionenradius=",K118,"|Ivolt=",M118,"|Aradius=",L118)</f>
        <v>{{Element|Ordnungszahl=117|Symbol=Uus|Name=Ununseptium|Atommasse=|EN=|BP=-|MP=-|Dichte=-|Ionenradius=|Ivolt=-|Aradius=</v>
      </c>
      <c r="AO118" s="27" t="e">
        <f>CONCATENATE("|Enthalpie=",#REF!,"|IVolt2=",O118,"|Wert=",P118,"|IVolt3=",Q118,"|Farbe=",R118,"|Flamme=",S118,"|Elektronenkonfiguration=",T118,"|EK-Wiki=",U118,"|pre=",V118,"|next=",W118,"|Metall=",X118,"|E-Name=",Y118,"|L-Name=",Z118)</f>
        <v>#REF!</v>
      </c>
      <c r="AP118" s="27" t="e">
        <f>CONCATENATE("|Verwendung=",AA118,"|Wortherkunft=",AB118,"|L-Abk. bzw. redirect=",AC118,"|radioaktiv=",AD118,"|hoch=",AE118,"|runter=",AF118,"|Bild-Element=",AG118,"|Bild-Verwendung=",AH118,"|www=",AI118,"|E-Gruppe=",AJ118,"|Sonstiges-kurz=",AK118,"|OZ3=",AL118,"|WL=",AM118,"}}
[[Kategorie:Chemie]][[Kategorie:Chemikalien]]")</f>
        <v>#REF!</v>
      </c>
      <c r="AQ118" s="31" t="e">
        <f t="shared" si="41"/>
        <v>#REF!</v>
      </c>
      <c r="AR118" t="e">
        <f t="shared" si="33"/>
        <v>#REF!</v>
      </c>
    </row>
    <row r="119" spans="1:44" ht="18" customHeight="1">
      <c r="A119">
        <v>118</v>
      </c>
      <c r="B119" t="s">
        <v>596</v>
      </c>
      <c r="C119" t="s">
        <v>592</v>
      </c>
      <c r="F119" s="42" t="s">
        <v>874</v>
      </c>
      <c r="G119" s="42" t="s">
        <v>874</v>
      </c>
      <c r="H119" s="42" t="s">
        <v>874</v>
      </c>
      <c r="J119" s="16"/>
      <c r="M119" s="57" t="s">
        <v>874</v>
      </c>
      <c r="O119" s="30" t="s">
        <v>874</v>
      </c>
      <c r="Q119" s="30" t="s">
        <v>874</v>
      </c>
      <c r="V119" t="str">
        <f t="shared" si="39"/>
        <v>Ununseptium</v>
      </c>
      <c r="W119" t="str">
        <f>C119</f>
        <v>Ununoctium</v>
      </c>
      <c r="X119" t="s">
        <v>809</v>
      </c>
      <c r="Y119" t="s">
        <v>592</v>
      </c>
      <c r="AB119" s="27" t="s">
        <v>299</v>
      </c>
      <c r="AC119" s="27" t="str">
        <f>CONCATENATE("#REDIRECT [[",C119,"]]")</f>
        <v>#REDIRECT [[Ununoctium]]</v>
      </c>
      <c r="AD119" s="7" t="s">
        <v>167</v>
      </c>
      <c r="AE119" t="s">
        <v>394</v>
      </c>
      <c r="AF119" t="str">
        <f t="shared" si="38"/>
        <v>Ununoctium</v>
      </c>
      <c r="AL119">
        <f t="shared" si="40"/>
        <v>118</v>
      </c>
      <c r="AM119" t="s">
        <v>1042</v>
      </c>
      <c r="AN119" t="e">
        <f>CONCATENATE("{{Element|Ordnungszahl=",A119,"|Symbol=",B119,"|Name=",C119,"|Atommasse=",D119,"|EN=",E119,"|BP=",F119,"|MP=",G119,"|Dichte=",H119,"|E-Jahr=",#REF!,"|E-von=",I119,"|E-Land=",J119,"|Ionenradius=",K119,"|Ivolt=",M119,"|Aradius=",L119)</f>
        <v>#REF!</v>
      </c>
      <c r="AO119" t="e">
        <f>CONCATENATE("|Enthalpie=",#REF!,"|IVolt2=",O119,"|Wert=",P119,"|IVolt3=",Q119,"|Farbe=",R119,"|Flamme=",S119,"|Elektronenkonfiguration=",T119,"|EK-Wiki=",U119,"|pre=",V119,"|next=",W119,"|Metall=",X119,"|E-Name=",Y119,"|L-Name=",Z119)</f>
        <v>#REF!</v>
      </c>
      <c r="AP119" s="27" t="str">
        <f>CONCATENATE("|Verwendung=",AA119,"|Wortherkunft=",AB119,"|L-Abk. bzw. redirect=",AC119,"|radioaktiv=",AD119,"|hoch=",AE119,"|runter=",AF119,"|Bild-Element=",AG119,"|Bild-Verwendung=",AH119,"|www=",AI119,"|E-Gruppe=",AJ119,"|Sonstiges-kurz=",AK119,"|OZ3=",AL119,"|WL=",AM119,"}}
[[Kategorie:Chemie]][[Kategorie:Chemikalien]]")</f>
        <v>|Verwendung=|Wortherkunft=Ununoctium (von lat. ''unus'' = eins (2x) und lat. ''octo'' = acht - entsprechend der Ordnungszahl 118).|L-Abk. bzw. redirect=#REDIRECT [[Ununoctium]]|radioaktiv=[[radioaktiv]]es&amp;nbsp;|hoch=Radon|runter=Ununoctium|Bild-Element=|Bild-Verwendung=|www=|E-Gruppe=|Sonstiges-kurz=|OZ3=118|WL=nichda}}
[[Kategorie:Chemie]][[Kategorie:Chemikalien]]</v>
      </c>
      <c r="AQ119" s="31" t="e">
        <f t="shared" si="41"/>
        <v>#REF!</v>
      </c>
      <c r="AR119" t="str">
        <f t="shared" si="33"/>
        <v xml:space="preserve"> http://www.webelements.com/webelements/elements/media/element-pics/Uuo.jpg</v>
      </c>
    </row>
    <row r="120" spans="1:44" ht="18" customHeight="1">
      <c r="M120" s="56"/>
    </row>
    <row r="121" spans="1:44" ht="18" customHeight="1">
      <c r="M121" s="56"/>
    </row>
    <row r="122" spans="1:44" ht="18" customHeight="1">
      <c r="M122" s="56"/>
    </row>
    <row r="123" spans="1:44" ht="18" customHeight="1">
      <c r="M123" s="56"/>
    </row>
    <row r="124" spans="1:44" ht="18" customHeight="1">
      <c r="M124" s="56"/>
    </row>
    <row r="125" spans="1:44" ht="18" customHeight="1">
      <c r="M125" s="5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Tabelle2">
    <pageSetUpPr fitToPage="1"/>
  </sheetPr>
  <dimension ref="A1:BF52"/>
  <sheetViews>
    <sheetView tabSelected="1" zoomScaleNormal="100" zoomScaleSheetLayoutView="144" zoomScalePageLayoutView="75" workbookViewId="0">
      <selection activeCell="A45" sqref="A45:XFD45"/>
    </sheetView>
  </sheetViews>
  <sheetFormatPr baseColWidth="10" defaultColWidth="0" defaultRowHeight="25.5"/>
  <cols>
    <col min="1" max="1" width="4" style="163" customWidth="1"/>
    <col min="2" max="2" width="5.25" style="76" customWidth="1"/>
    <col min="3" max="3" width="6.75" style="1" customWidth="1"/>
    <col min="4" max="4" width="5.25" style="76" customWidth="1"/>
    <col min="5" max="5" width="6.75" style="1" customWidth="1"/>
    <col min="6" max="6" width="5.25" style="76" customWidth="1"/>
    <col min="7" max="7" width="6.75" style="1" customWidth="1"/>
    <col min="8" max="8" width="5.25" style="76" customWidth="1"/>
    <col min="9" max="9" width="6.75" style="1" customWidth="1"/>
    <col min="10" max="10" width="5.25" style="76" customWidth="1"/>
    <col min="11" max="11" width="6.75" style="1" customWidth="1"/>
    <col min="12" max="12" width="5.25" style="76" customWidth="1"/>
    <col min="13" max="13" width="6.75" style="1" customWidth="1"/>
    <col min="14" max="14" width="5.25" style="76" customWidth="1"/>
    <col min="15" max="15" width="6.75" style="1" customWidth="1"/>
    <col min="16" max="16" width="5.25" style="76" customWidth="1"/>
    <col min="17" max="17" width="6.75" style="1" customWidth="1"/>
    <col min="18" max="18" width="5.25" style="76" customWidth="1"/>
    <col min="19" max="19" width="6.75" style="1" customWidth="1"/>
    <col min="20" max="20" width="5.25" style="76" customWidth="1"/>
    <col min="21" max="21" width="6.75" style="1" customWidth="1"/>
    <col min="22" max="22" width="5.25" style="76" customWidth="1"/>
    <col min="23" max="23" width="6.75" style="1" customWidth="1"/>
    <col min="24" max="24" width="5.25" style="76" customWidth="1"/>
    <col min="25" max="25" width="6.75" style="1" customWidth="1"/>
    <col min="26" max="26" width="5.25" style="76" customWidth="1"/>
    <col min="27" max="27" width="6.75" style="1" customWidth="1"/>
    <col min="28" max="28" width="5.25" style="76" customWidth="1"/>
    <col min="29" max="29" width="6.75" style="1" customWidth="1"/>
    <col min="30" max="30" width="5.25" style="76" customWidth="1"/>
    <col min="31" max="31" width="6.75" style="1" customWidth="1"/>
    <col min="32" max="32" width="5.25" style="76" customWidth="1"/>
    <col min="33" max="33" width="6.75" style="1" customWidth="1"/>
    <col min="34" max="34" width="5.25" style="76" customWidth="1"/>
    <col min="35" max="35" width="6.75" style="1" customWidth="1"/>
    <col min="36" max="36" width="5.25" style="76" customWidth="1"/>
    <col min="37" max="37" width="6.75" style="1" customWidth="1"/>
    <col min="38" max="38" width="1.75" style="76" customWidth="1"/>
    <col min="39" max="16384" width="0" style="1" hidden="1"/>
  </cols>
  <sheetData>
    <row r="1" spans="1:39" s="10" customFormat="1" ht="22.15" customHeight="1">
      <c r="A1" s="157"/>
      <c r="B1" s="115" t="s">
        <v>817</v>
      </c>
      <c r="D1" s="71"/>
      <c r="E1" s="90"/>
      <c r="F1" s="71"/>
      <c r="H1" s="71"/>
      <c r="J1" s="71"/>
      <c r="L1" s="71"/>
      <c r="N1" s="71"/>
      <c r="P1" s="71"/>
      <c r="R1" s="71"/>
      <c r="T1" s="71"/>
      <c r="V1" s="71"/>
      <c r="X1" s="71"/>
      <c r="Z1" s="71"/>
      <c r="AB1" s="71"/>
      <c r="AJ1" s="209"/>
      <c r="AK1" s="209"/>
      <c r="AL1" s="106"/>
    </row>
    <row r="2" spans="1:39" s="12" customFormat="1" ht="18" customHeight="1">
      <c r="A2" s="158"/>
      <c r="B2" s="147">
        <f ca="1">INDIRECT(ADDRESS(2-16*(COLUMN()&gt;5)+(COLUMN()-2)/2,1,4,,"PSE"),1)</f>
        <v>1</v>
      </c>
      <c r="C2" s="180">
        <f ca="1">INDIRECT(ADDRESS(2-16*(COLUMN()&gt;5)+(COLUMN()-2)/2,4,4,,"PSE"),1)</f>
        <v>1.008</v>
      </c>
      <c r="D2" s="72"/>
      <c r="F2" s="214" t="s">
        <v>1313</v>
      </c>
      <c r="G2" s="214"/>
      <c r="H2" s="214"/>
      <c r="I2" s="214"/>
      <c r="J2" s="214"/>
      <c r="K2" s="214"/>
      <c r="L2" s="214"/>
      <c r="M2" s="214"/>
      <c r="N2" s="214"/>
      <c r="O2" s="214"/>
      <c r="P2" s="214"/>
      <c r="Q2" s="214"/>
      <c r="R2" s="214"/>
      <c r="S2" s="214"/>
      <c r="T2" s="214"/>
      <c r="U2" s="214"/>
      <c r="V2" s="214"/>
      <c r="W2" s="214"/>
      <c r="X2" s="214"/>
      <c r="Z2" s="72"/>
      <c r="AB2" s="72"/>
      <c r="AD2" s="72"/>
      <c r="AF2" s="72"/>
      <c r="AH2" s="72"/>
      <c r="AJ2" s="147">
        <v>2</v>
      </c>
      <c r="AK2" s="150">
        <f ca="1">INDIRECT(ADDRESS(3-16*(COLUMN()&gt;5)+(COLUMN()-5)/2,4,4,,"PSE"),1)</f>
        <v>4.0030000000000001</v>
      </c>
      <c r="AL2" s="109"/>
    </row>
    <row r="3" spans="1:39" ht="30" customHeight="1">
      <c r="A3" s="164" t="s">
        <v>544</v>
      </c>
      <c r="B3" s="118" t="str">
        <f ca="1">INDIRECT(ADDRESS(2-16*(COLUMN()&gt;5)+(COLUMN()-2)/2,8,4,,"PSE"),1)</f>
        <v>0,082 g/L</v>
      </c>
      <c r="C3" s="120" t="str">
        <f ca="1">INDIRECT(ADDRESS(2-16*(COLUMN()&gt;5)+(COLUMN()-2)/2,2,4,,"PSE"),1)</f>
        <v>H</v>
      </c>
      <c r="D3" s="81"/>
      <c r="E3" s="3"/>
      <c r="F3" s="214"/>
      <c r="G3" s="214"/>
      <c r="H3" s="214"/>
      <c r="I3" s="214"/>
      <c r="J3" s="214"/>
      <c r="K3" s="214"/>
      <c r="L3" s="214"/>
      <c r="M3" s="214"/>
      <c r="N3" s="214"/>
      <c r="O3" s="214"/>
      <c r="P3" s="214"/>
      <c r="Q3" s="214"/>
      <c r="R3" s="214"/>
      <c r="S3" s="214"/>
      <c r="T3" s="214"/>
      <c r="U3" s="214"/>
      <c r="V3" s="214"/>
      <c r="W3" s="214"/>
      <c r="X3" s="214"/>
      <c r="Z3" s="91"/>
      <c r="AA3" s="92"/>
      <c r="AB3" s="92"/>
      <c r="AC3" s="91"/>
      <c r="AD3" s="92"/>
      <c r="AE3" s="92"/>
      <c r="AF3" s="78"/>
      <c r="AG3" s="3"/>
      <c r="AH3" s="78"/>
      <c r="AI3" s="15"/>
      <c r="AJ3" s="118" t="str">
        <f ca="1">INDIRECT(ADDRESS(2-16*(COLUMN()&gt;5)+(COLUMN()-2)/2,8,4,,"PSE"),1)</f>
        <v>0,166 g/L</v>
      </c>
      <c r="AK3" s="127" t="str">
        <f ca="1">INDIRECT(ADDRESS(3-16*(COLUMN()&gt;5)+(COLUMN()-5)/2,2,4,,"PSE"),1)</f>
        <v>He</v>
      </c>
      <c r="AL3" s="102"/>
      <c r="AM3" s="12"/>
    </row>
    <row r="4" spans="1:39" s="12" customFormat="1" ht="13.9" customHeight="1">
      <c r="A4" s="159"/>
      <c r="B4" s="202" t="str">
        <f ca="1">INDIRECT(ADDRESS(2-16*(COLUMN()&gt;5)+(COLUMN()-2)/2,3,4,,"PSE"),1)</f>
        <v>Wasserstoff</v>
      </c>
      <c r="C4" s="203"/>
      <c r="D4" s="79"/>
      <c r="E4" s="60"/>
      <c r="F4" s="72"/>
      <c r="G4" s="38"/>
      <c r="H4" s="38"/>
      <c r="I4" s="38"/>
      <c r="J4" s="38"/>
      <c r="K4" s="38"/>
      <c r="L4" s="38"/>
      <c r="M4" s="38"/>
      <c r="N4" s="38"/>
      <c r="P4" s="72"/>
      <c r="R4" s="94"/>
      <c r="T4" s="38"/>
      <c r="U4" s="38"/>
      <c r="V4" s="38"/>
      <c r="W4" s="38"/>
      <c r="X4" s="38"/>
      <c r="Y4" s="60"/>
      <c r="AA4" s="114"/>
      <c r="AB4" s="114"/>
      <c r="AC4" s="114"/>
      <c r="AD4" s="114"/>
      <c r="AE4" s="114"/>
      <c r="AF4" s="79"/>
      <c r="AG4" s="60"/>
      <c r="AH4" s="79"/>
      <c r="AI4" s="60"/>
      <c r="AJ4" s="202" t="str">
        <f ca="1">INDIRECT(ADDRESS(2-16*(COLUMN()&gt;5)+(COLUMN()-2)/2,3,4,,"PSE"),1)</f>
        <v>Helium</v>
      </c>
      <c r="AK4" s="203"/>
      <c r="AL4" s="103"/>
    </row>
    <row r="5" spans="1:39" s="12" customFormat="1" ht="15" customHeight="1">
      <c r="A5" s="159"/>
      <c r="B5" s="263">
        <f ca="1">INDIRECT(ADDRESS(2-16*(COLUMN()&gt;5)+(COLUMN()-2)/2,5,4,,"PSE"),1)</f>
        <v>2.1</v>
      </c>
      <c r="C5" s="262" t="str">
        <f ca="1">INDIRECT(ADDRESS(2-16*(COLUMN()&gt;5)+(COLUMN()-2)/2,6,4,,"PSE"),1)</f>
        <v>-252 °C</v>
      </c>
      <c r="D5" s="271"/>
      <c r="E5" s="171"/>
      <c r="F5" s="173"/>
      <c r="G5" s="171"/>
      <c r="H5" s="173"/>
      <c r="I5" s="171"/>
      <c r="J5" s="242" t="s">
        <v>1299</v>
      </c>
      <c r="K5" s="242"/>
      <c r="L5" s="242"/>
      <c r="M5" s="242"/>
      <c r="N5" s="242"/>
      <c r="O5" s="242"/>
      <c r="P5" s="242"/>
      <c r="Q5" s="242"/>
      <c r="R5" s="242"/>
      <c r="S5" s="242"/>
      <c r="T5" s="242"/>
      <c r="U5" s="272"/>
      <c r="V5" s="173"/>
      <c r="W5" s="171"/>
      <c r="X5" s="173"/>
      <c r="Y5" s="171"/>
      <c r="Z5" s="227" t="s">
        <v>1301</v>
      </c>
      <c r="AA5" s="227"/>
      <c r="AB5" s="227"/>
      <c r="AC5" s="227"/>
      <c r="AD5" s="227"/>
      <c r="AE5" s="227"/>
      <c r="AF5" s="80"/>
      <c r="AG5" s="11"/>
      <c r="AH5" s="173"/>
      <c r="AI5" s="171"/>
      <c r="AJ5" s="261">
        <f ca="1">INDIRECT(ADDRESS(2-16*(COLUMN()&gt;5)+(COLUMN()-2)/2,5,4,,"PSE"),1)</f>
        <v>0</v>
      </c>
      <c r="AK5" s="262" t="str">
        <f ca="1">INDIRECT(ADDRESS(3-16*(COLUMN()&gt;5)+(COLUMN()-5)/2,6,4,,"PSE"),1)</f>
        <v>-269 °C</v>
      </c>
      <c r="AL5" s="264"/>
    </row>
    <row r="6" spans="1:39" s="12" customFormat="1" ht="11.45" customHeight="1">
      <c r="A6" s="159"/>
      <c r="B6" s="138" t="str">
        <f ca="1">INDIRECT(ADDRESS(2-16*(COLUMN()&gt;5)+(COLUMN()-2)/2,13,4,,"PSE"),1)</f>
        <v>25 pm</v>
      </c>
      <c r="C6" s="179" t="str">
        <f ca="1">INDIRECT(ADDRESS(2-16*(COLUMN()&gt;5)+(COLUMN()-2)/2,7,4,,"PSE"),1)</f>
        <v>-259 °C</v>
      </c>
      <c r="D6" s="72"/>
      <c r="F6" s="72"/>
      <c r="H6" s="72"/>
      <c r="J6" s="242"/>
      <c r="K6" s="242"/>
      <c r="L6" s="242"/>
      <c r="M6" s="242"/>
      <c r="N6" s="242"/>
      <c r="O6" s="242"/>
      <c r="P6" s="242"/>
      <c r="Q6" s="242"/>
      <c r="R6" s="242"/>
      <c r="S6" s="242"/>
      <c r="T6" s="242"/>
      <c r="V6" s="72"/>
      <c r="X6" s="72"/>
      <c r="Z6" s="227"/>
      <c r="AA6" s="227"/>
      <c r="AB6" s="227"/>
      <c r="AC6" s="227"/>
      <c r="AD6" s="227"/>
      <c r="AE6" s="227"/>
      <c r="AF6" s="197"/>
      <c r="AG6" s="197"/>
      <c r="AH6" s="197"/>
      <c r="AI6" s="197"/>
      <c r="AJ6" s="139" t="str">
        <f ca="1">INDIRECT(ADDRESS(2-16*(COLUMN()&gt;5)+(COLUMN()-2)/2,13,4,,"PSE"),1)</f>
        <v>28 pm</v>
      </c>
      <c r="AK6" s="179" t="str">
        <f ca="1">INDIRECT(ADDRESS(3-16*(COLUMN()&gt;5)+(COLUMN()-5)/2,7,4,,"PSE"),1)</f>
        <v>-272 °C</v>
      </c>
      <c r="AL6" s="110"/>
    </row>
    <row r="7" spans="1:39" s="72" customFormat="1" ht="15" customHeight="1">
      <c r="A7" s="160"/>
      <c r="B7" s="206" t="s">
        <v>1307</v>
      </c>
      <c r="C7" s="207"/>
      <c r="D7" s="206" t="s">
        <v>1308</v>
      </c>
      <c r="E7" s="207"/>
      <c r="J7" s="242"/>
      <c r="K7" s="242"/>
      <c r="L7" s="242"/>
      <c r="M7" s="242"/>
      <c r="N7" s="242"/>
      <c r="O7" s="242"/>
      <c r="P7" s="242"/>
      <c r="Q7" s="242"/>
      <c r="R7" s="242"/>
      <c r="S7" s="242"/>
      <c r="T7" s="242"/>
      <c r="V7" s="15"/>
      <c r="W7" s="15"/>
      <c r="X7" s="15"/>
      <c r="Y7" s="15"/>
      <c r="Z7" s="206" t="s">
        <v>1300</v>
      </c>
      <c r="AA7" s="207"/>
      <c r="AB7" s="206" t="s">
        <v>1302</v>
      </c>
      <c r="AC7" s="207"/>
      <c r="AD7" s="206" t="s">
        <v>1303</v>
      </c>
      <c r="AE7" s="207"/>
      <c r="AF7" s="206" t="s">
        <v>1304</v>
      </c>
      <c r="AG7" s="207"/>
      <c r="AH7" s="206" t="s">
        <v>1305</v>
      </c>
      <c r="AI7" s="207"/>
      <c r="AJ7" s="206" t="s">
        <v>1306</v>
      </c>
      <c r="AK7" s="207"/>
      <c r="AL7" s="107"/>
    </row>
    <row r="8" spans="1:39" s="12" customFormat="1" ht="18" customHeight="1">
      <c r="A8" s="159"/>
      <c r="B8" s="146">
        <f ca="1">INDIRECT(ADDRESS(4-10*(COLUMN()&gt;5)+(COLUMN()-2)/2,1,4,,"PSE"),1)</f>
        <v>3</v>
      </c>
      <c r="C8" s="140">
        <f ca="1">INDIRECT(ADDRESS(4-10*(COLUMN()&gt;5)+(COLUMN()-2)/2,4,4,,"PSE"),1)</f>
        <v>6.94</v>
      </c>
      <c r="D8" s="146">
        <f ca="1">INDIRECT(ADDRESS(4-10*(COLUMN()&gt;5)+(COLUMN()-2)/2,1,4,,"PSE"),1)</f>
        <v>4</v>
      </c>
      <c r="E8" s="152">
        <f ca="1">INDIRECT(ADDRESS(4-10*(COLUMN()&gt;5)+(COLUMN()-2)/2,4,4,,"PSE"),1)</f>
        <v>9.0120000000000005</v>
      </c>
      <c r="F8" s="72"/>
      <c r="H8" s="72"/>
      <c r="J8" s="72"/>
      <c r="K8" s="191" t="s">
        <v>862</v>
      </c>
      <c r="L8" s="147">
        <v>1</v>
      </c>
      <c r="M8" s="151">
        <f ca="1">C2</f>
        <v>1.008</v>
      </c>
      <c r="N8" s="187" t="s">
        <v>540</v>
      </c>
      <c r="P8" s="72"/>
      <c r="R8" s="217" t="s">
        <v>574</v>
      </c>
      <c r="S8" s="218"/>
      <c r="T8" s="225" t="s">
        <v>819</v>
      </c>
      <c r="U8" s="226"/>
      <c r="V8" s="228" t="s">
        <v>818</v>
      </c>
      <c r="W8" s="229"/>
      <c r="X8" s="82"/>
      <c r="Y8" s="68"/>
      <c r="Z8" s="148">
        <f ca="1">INDIRECT(ADDRESS(4-10*(COLUMN()&gt;5)+(COLUMN()-2)/2,1,4,,"PSE"),1)</f>
        <v>5</v>
      </c>
      <c r="AA8" s="141">
        <f ca="1">INDIRECT(ADDRESS(5-10*(COLUMN()&gt;5)+(COLUMN()-5)/2,4,4,,"PSE"),1)</f>
        <v>10.81</v>
      </c>
      <c r="AB8" s="147">
        <f ca="1">INDIRECT(ADDRESS(4-10*(COLUMN()&gt;5)+(COLUMN()-2)/2,1,4,,"PSE"),1)</f>
        <v>6</v>
      </c>
      <c r="AC8" s="142">
        <f ca="1">INDIRECT(ADDRESS(5-10*(COLUMN()&gt;5)+(COLUMN()-5)/2,4,4,,"PSE"),1)</f>
        <v>12.01</v>
      </c>
      <c r="AD8" s="147">
        <f ca="1">INDIRECT(ADDRESS(4-10*(COLUMN()&gt;5)+(COLUMN()-2)/2,1,4,,"PSE"),1)</f>
        <v>7</v>
      </c>
      <c r="AE8" s="143">
        <f ca="1">INDIRECT(ADDRESS(5-10*(COLUMN()&gt;5)+(COLUMN()-5)/2,4,4,,"PSE"),1)</f>
        <v>14</v>
      </c>
      <c r="AF8" s="147">
        <f ca="1">INDIRECT(ADDRESS(4-10*(COLUMN()&gt;5)+(COLUMN()-2)/2,1,4,,"PSE"),1)</f>
        <v>8</v>
      </c>
      <c r="AG8" s="143">
        <f ca="1">INDIRECT(ADDRESS(5-10*(COLUMN()&gt;5)+(COLUMN()-5)/2,4,4,,"PSE"),1)</f>
        <v>16</v>
      </c>
      <c r="AH8" s="147">
        <f ca="1">INDIRECT(ADDRESS(4-10*(COLUMN()&gt;5)+(COLUMN()-2)/2,1,4,,"PSE"),1)</f>
        <v>9</v>
      </c>
      <c r="AI8" s="143">
        <f ca="1">INDIRECT(ADDRESS(5-10*(COLUMN()&gt;5)+(COLUMN()-5)/2,4,4,,"PSE"),1)</f>
        <v>19</v>
      </c>
      <c r="AJ8" s="147">
        <f ca="1">INDIRECT(ADDRESS(4-10*(COLUMN()&gt;5)+(COLUMN()-2)/2,1,4,,"PSE"),1)</f>
        <v>10</v>
      </c>
      <c r="AK8" s="142">
        <f ca="1">INDIRECT(ADDRESS(5-10*(COLUMN()&gt;5)+(COLUMN()-5)/2,4,4,,"PSE"),1)</f>
        <v>20.18</v>
      </c>
      <c r="AL8" s="109"/>
    </row>
    <row r="9" spans="1:39" ht="30" customHeight="1">
      <c r="A9" s="164" t="s">
        <v>545</v>
      </c>
      <c r="B9" s="131" t="str">
        <f ca="1">INDIRECT(ADDRESS(4-10*(COLUMN()&gt;5)+(COLUMN()-2)/2,8,4,,"PSE"),1)</f>
        <v>0,53 g/cm³</v>
      </c>
      <c r="C9" s="132" t="str">
        <f ca="1">INDIRECT(ADDRESS(4-10*(COLUMN()&gt;5)+(COLUMN()-2)/2,2,4,,"PSE"),1)</f>
        <v>Li</v>
      </c>
      <c r="D9" s="95" t="str">
        <f ca="1">INDIRECT(ADDRESS(4-10*(COLUMN()&gt;5)+(COLUMN()-2)/2,8,4,,"PSE"),1)</f>
        <v>1,85 g/cm³</v>
      </c>
      <c r="E9" s="13" t="str">
        <f ca="1">INDIRECT(ADDRESS(4-10*(COLUMN()&gt;5)+(COLUMN()-2)/2,2,4,,"PSE"),1)</f>
        <v>Be</v>
      </c>
      <c r="F9" s="78"/>
      <c r="G9" s="49"/>
      <c r="H9" s="87"/>
      <c r="I9" s="240" t="s">
        <v>1318</v>
      </c>
      <c r="J9" s="240"/>
      <c r="K9" s="241"/>
      <c r="L9" s="97" t="str">
        <f ca="1">B3</f>
        <v>0,082 g/L</v>
      </c>
      <c r="M9" s="41" t="str">
        <f ca="1">C3</f>
        <v>H</v>
      </c>
      <c r="N9" s="237" t="s">
        <v>1316</v>
      </c>
      <c r="O9" s="238"/>
      <c r="P9" s="238"/>
      <c r="Q9" s="239"/>
      <c r="R9" s="218"/>
      <c r="S9" s="218"/>
      <c r="T9" s="226"/>
      <c r="U9" s="226"/>
      <c r="V9" s="229"/>
      <c r="W9" s="229"/>
      <c r="X9" s="83"/>
      <c r="Y9" s="15"/>
      <c r="Z9" s="96" t="str">
        <f ca="1">INDIRECT(ADDRESS(4-10*(COLUMN()&gt;5)+(COLUMN()-2)/2,8,4,,"PSE"),1)</f>
        <v>2,46 g/cm³</v>
      </c>
      <c r="AA9" s="37" t="str">
        <f ca="1">INDIRECT(ADDRESS(5-10*(COLUMN()&gt;5)+(COLUMN()-5)/2,2,4,,"PSE"),1)</f>
        <v>B</v>
      </c>
      <c r="AB9" s="118" t="str">
        <f ca="1">INDIRECT(ADDRESS(4-10*(COLUMN()&gt;5)+(COLUMN()-2)/2,8,4,,"PSE"),1)</f>
        <v>2,26 g/cm³</v>
      </c>
      <c r="AC9" s="126" t="str">
        <f ca="1">INDIRECT(ADDRESS(5-10*(COLUMN()&gt;5)+(COLUMN()-5)/2,2,4,,"PSE"),1)</f>
        <v>C</v>
      </c>
      <c r="AD9" s="118" t="str">
        <f ca="1">INDIRECT(ADDRESS(4-10*(COLUMN()&gt;5)+(COLUMN()-2)/2,8,4,,"PSE"),1)</f>
        <v>1,165 g/L</v>
      </c>
      <c r="AE9" s="120" t="str">
        <f ca="1">INDIRECT(ADDRESS(5-10*(COLUMN()&gt;5)+(COLUMN()-5)/2,2,4,,"PSE"),1)</f>
        <v>N</v>
      </c>
      <c r="AF9" s="118" t="str">
        <f ca="1">INDIRECT(ADDRESS(4-10*(COLUMN()&gt;5)+(COLUMN()-2)/2,8,4,,"PSE"),1)</f>
        <v>1,33 g/L</v>
      </c>
      <c r="AG9" s="120" t="str">
        <f ca="1">INDIRECT(ADDRESS(5-10*(COLUMN()&gt;5)+(COLUMN()-5)/2,2,4,,"PSE"),1)</f>
        <v>O</v>
      </c>
      <c r="AH9" s="118" t="str">
        <f ca="1">INDIRECT(ADDRESS(4-10*(COLUMN()&gt;5)+(COLUMN()-2)/2,8,4,,"PSE"),1)</f>
        <v>1,58 g/L</v>
      </c>
      <c r="AI9" s="120" t="str">
        <f ca="1">INDIRECT(ADDRESS(5-10*(COLUMN()&gt;5)+(COLUMN()-5)/2,2,4,,"PSE"),1)</f>
        <v>F</v>
      </c>
      <c r="AJ9" s="118" t="str">
        <f ca="1">INDIRECT(ADDRESS(4-10*(COLUMN()&gt;5)+(COLUMN()-2)/2,8,4,,"PSE"),1)</f>
        <v>0,84 g/L</v>
      </c>
      <c r="AK9" s="127" t="str">
        <f ca="1">INDIRECT(ADDRESS(5-10*(COLUMN()&gt;5)+(COLUMN()-5)/2,2,4,,"PSE"),1)</f>
        <v>Ne</v>
      </c>
      <c r="AL9" s="102"/>
      <c r="AM9" s="12"/>
    </row>
    <row r="10" spans="1:39" s="12" customFormat="1" ht="13.9" customHeight="1">
      <c r="A10" s="159"/>
      <c r="B10" s="211" t="str">
        <f ca="1">INDIRECT(ADDRESS(4-10*(COLUMN()&gt;5)+(COLUMN()-2)/2,3,4,,"PSE"),1)</f>
        <v>Lithium</v>
      </c>
      <c r="C10" s="212"/>
      <c r="D10" s="192" t="str">
        <f ca="1">INDIRECT(ADDRESS(4-10*(COLUMN()&gt;5)+(COLUMN()-2)/2,3,4,,"PSE"),1)</f>
        <v>Beryllium</v>
      </c>
      <c r="E10" s="193"/>
      <c r="F10" s="79"/>
      <c r="G10" s="60"/>
      <c r="H10" s="79"/>
      <c r="I10" s="61"/>
      <c r="J10" s="72"/>
      <c r="L10" s="215" t="str">
        <f ca="1">B4</f>
        <v>Wasserstoff</v>
      </c>
      <c r="M10" s="216"/>
      <c r="N10" s="62" t="s">
        <v>864</v>
      </c>
      <c r="O10" s="60"/>
      <c r="P10" s="72"/>
      <c r="R10" s="219" t="s">
        <v>825</v>
      </c>
      <c r="S10" s="220"/>
      <c r="T10" s="51"/>
      <c r="U10" s="52"/>
      <c r="V10" s="231" t="s">
        <v>573</v>
      </c>
      <c r="W10" s="232"/>
      <c r="X10" s="63"/>
      <c r="Y10" s="60"/>
      <c r="Z10" s="204" t="str">
        <f ca="1">INDIRECT(ADDRESS(4-10*(COLUMN()&gt;5)+(COLUMN()-2)/2,3,4,,"PSE"),1)</f>
        <v>Bor</v>
      </c>
      <c r="AA10" s="205"/>
      <c r="AB10" s="202" t="str">
        <f ca="1">INDIRECT(ADDRESS(4-10*(COLUMN()&gt;5)+(COLUMN()-2)/2,3,4,,"PSE"),1)</f>
        <v>Kohlenstoff</v>
      </c>
      <c r="AC10" s="203"/>
      <c r="AD10" s="202" t="str">
        <f ca="1">INDIRECT(ADDRESS(4-10*(COLUMN()&gt;5)+(COLUMN()-2)/2,3,4,,"PSE"),1)</f>
        <v>Stickstoff</v>
      </c>
      <c r="AE10" s="203"/>
      <c r="AF10" s="202" t="str">
        <f ca="1">INDIRECT(ADDRESS(4-10*(COLUMN()&gt;5)+(COLUMN()-2)/2,3,4,,"PSE"),1)</f>
        <v>Sauerstoff</v>
      </c>
      <c r="AG10" s="203"/>
      <c r="AH10" s="202" t="str">
        <f ca="1">INDIRECT(ADDRESS(4-10*(COLUMN()&gt;5)+(COLUMN()-2)/2,3,4,,"PSE"),1)</f>
        <v>Fluor</v>
      </c>
      <c r="AI10" s="203"/>
      <c r="AJ10" s="202" t="str">
        <f ca="1">INDIRECT(ADDRESS(4-10*(COLUMN()&gt;5)+(COLUMN()-2)/2,3,4,,"PSE"),1)</f>
        <v>Neon</v>
      </c>
      <c r="AK10" s="203"/>
      <c r="AL10" s="103"/>
    </row>
    <row r="11" spans="1:39" s="12" customFormat="1" ht="15" customHeight="1">
      <c r="A11" s="159"/>
      <c r="B11" s="251">
        <f ca="1">INDIRECT(ADDRESS(4-10*(COLUMN()&gt;5)+(COLUMN()-2)/2,5,4,,"PSE"),1)</f>
        <v>1</v>
      </c>
      <c r="C11" s="253" t="str">
        <f ca="1">INDIRECT(ADDRESS(4-10*(COLUMN()&gt;5)+(COLUMN()-2)/2,6,4,,"PSE"),1)</f>
        <v>1.330 °C</v>
      </c>
      <c r="D11" s="251">
        <f ca="1">INDIRECT(ADDRESS(4-10*(COLUMN()&gt;5)+(COLUMN()-2)/2,5,4,,"PSE"),1)</f>
        <v>1.5</v>
      </c>
      <c r="E11" s="254" t="str">
        <f ca="1">INDIRECT(ADDRESS(4-10*(COLUMN()&gt;5)+(COLUMN()-2)/2,6,4,,"PSE"),1)</f>
        <v>2.969 °C</v>
      </c>
      <c r="F11" s="173"/>
      <c r="G11" s="171"/>
      <c r="H11" s="72"/>
      <c r="J11" s="173"/>
      <c r="K11" s="255" t="s">
        <v>539</v>
      </c>
      <c r="L11" s="256">
        <f ca="1">B5</f>
        <v>2.1</v>
      </c>
      <c r="M11" s="257" t="str">
        <f ca="1">C5</f>
        <v>-252 °C</v>
      </c>
      <c r="N11" s="188" t="s">
        <v>542</v>
      </c>
      <c r="O11" s="171"/>
      <c r="P11" s="72"/>
      <c r="R11" s="221"/>
      <c r="S11" s="222"/>
      <c r="T11" s="52"/>
      <c r="U11" s="52"/>
      <c r="V11" s="233"/>
      <c r="W11" s="234"/>
      <c r="X11" s="258"/>
      <c r="Y11" s="171"/>
      <c r="Z11" s="259">
        <f ca="1">INDIRECT(ADDRESS(4-10*(COLUMN()&gt;5)+(COLUMN()-2)/2,5,4,,"PSE"),1)</f>
        <v>2</v>
      </c>
      <c r="AA11" s="260" t="str">
        <f ca="1">INDIRECT(ADDRESS(4-10*(COLUMN()&gt;5)+(COLUMN()-2)/2,6,4,,"PSE"),1)</f>
        <v>3.930 °C</v>
      </c>
      <c r="AB11" s="261">
        <f ca="1">INDIRECT(ADDRESS(4-10*(COLUMN()&gt;5)+(COLUMN()-2)/2,5,4,,"PSE"),1)</f>
        <v>2.5</v>
      </c>
      <c r="AC11" s="262" t="str">
        <f ca="1">INDIRECT(ADDRESS(4-10*(COLUMN()&gt;5)+(COLUMN()-2)/2,6,4,,"PSE"),1)</f>
        <v>3.642 °C</v>
      </c>
      <c r="AD11" s="263">
        <f ca="1">INDIRECT(ADDRESS(4-10*(COLUMN()&gt;5)+(COLUMN()-2)/2,5,4,,"PSE"),1)</f>
        <v>3</v>
      </c>
      <c r="AE11" s="262" t="str">
        <f ca="1">INDIRECT(ADDRESS(4-10*(COLUMN()&gt;5)+(COLUMN()-2)/2,6,4,,"PSE"),1)</f>
        <v>-196 °C</v>
      </c>
      <c r="AF11" s="263">
        <f ca="1">INDIRECT(ADDRESS(4-10*(COLUMN()&gt;5)+(COLUMN()-2)/2,5,4,,"PSE"),1)</f>
        <v>3.5</v>
      </c>
      <c r="AG11" s="262" t="str">
        <f ca="1">INDIRECT(ADDRESS(4-10*(COLUMN()&gt;5)+(COLUMN()-2)/2,6,4,,"PSE"),1)</f>
        <v>-183 °C</v>
      </c>
      <c r="AH11" s="263">
        <f ca="1">INDIRECT(ADDRESS(4-10*(COLUMN()&gt;5)+(COLUMN()-2)/2,5,4,,"PSE"),1)</f>
        <v>4</v>
      </c>
      <c r="AI11" s="262" t="str">
        <f ca="1">INDIRECT(ADDRESS(4-10*(COLUMN()&gt;5)+(COLUMN()-2)/2,6,4,,"PSE"),1)</f>
        <v>-188 °C</v>
      </c>
      <c r="AJ11" s="261">
        <f ca="1">INDIRECT(ADDRESS(4-10*(COLUMN()&gt;5)+(COLUMN()-2)/2,5,4,,"PSE"),1)</f>
        <v>0</v>
      </c>
      <c r="AK11" s="262" t="str">
        <f ca="1">INDIRECT(ADDRESS(4-10*(COLUMN()&gt;5)+(COLUMN()-2)/2,6,4,,"PSE"),1)</f>
        <v>-246 °C</v>
      </c>
      <c r="AL11" s="264"/>
    </row>
    <row r="12" spans="1:39" s="12" customFormat="1" ht="11.45" customHeight="1">
      <c r="A12" s="159"/>
      <c r="B12" s="133" t="str">
        <f ca="1">INDIRECT(ADDRESS(4-10*(COLUMN()&gt;5)+(COLUMN()-2)/2,13,4,,"PSE"),1)</f>
        <v>145 pm</v>
      </c>
      <c r="C12" s="176" t="str">
        <f ca="1">INDIRECT(ADDRESS(4-10*(COLUMN()&gt;5)+(COLUMN()-2)/2,7,4,,"PSE"),1)</f>
        <v>181 °C</v>
      </c>
      <c r="D12" s="74" t="str">
        <f ca="1">INDIRECT(ADDRESS(4-10*(COLUMN()&gt;5)+(COLUMN()-2)/2,13,4,,"PSE"),1)</f>
        <v>105 pm</v>
      </c>
      <c r="E12" s="172" t="str">
        <f ca="1">INDIRECT(ADDRESS(4-10*(COLUMN()&gt;5)+(COLUMN()-2)/2,7,4,,"PSE"),1)</f>
        <v>1.287 °C</v>
      </c>
      <c r="F12" s="173"/>
      <c r="G12" s="171"/>
      <c r="H12" s="72"/>
      <c r="J12" s="173"/>
      <c r="K12" s="189" t="s">
        <v>543</v>
      </c>
      <c r="L12" s="88" t="str">
        <f ca="1">B6</f>
        <v>25 pm</v>
      </c>
      <c r="M12" s="177" t="str">
        <f ca="1">C6</f>
        <v>-259 °C</v>
      </c>
      <c r="N12" s="188" t="s">
        <v>541</v>
      </c>
      <c r="P12" s="72"/>
      <c r="R12" s="223"/>
      <c r="S12" s="224"/>
      <c r="T12" s="53"/>
      <c r="U12" s="53"/>
      <c r="V12" s="235"/>
      <c r="W12" s="236"/>
      <c r="X12" s="178"/>
      <c r="Y12" s="171"/>
      <c r="Z12" s="73" t="str">
        <f ca="1">INDIRECT(ADDRESS(4-10*(COLUMN()&gt;5)+(COLUMN()-2)/2,13,4,,"PSE"),1)</f>
        <v>85 pm</v>
      </c>
      <c r="AA12" s="174" t="str">
        <f ca="1">INDIRECT(ADDRESS(4-10*(COLUMN()&gt;5)+(COLUMN()-2)/2,7,4,,"PSE"),1)</f>
        <v>2.076 °C</v>
      </c>
      <c r="AB12" s="119" t="str">
        <f ca="1">INDIRECT(ADDRESS(4-10*(COLUMN()&gt;5)+(COLUMN()-2)/2,13,4,,"PSE"),1)</f>
        <v>70 pm</v>
      </c>
      <c r="AC12" s="175" t="str">
        <f ca="1">INDIRECT(ADDRESS(4-10*(COLUMN()&gt;5)+(COLUMN()-2)/2,7,4,,"PSE"),1)</f>
        <v>3.642 °C</v>
      </c>
      <c r="AD12" s="121" t="str">
        <f ca="1">INDIRECT(ADDRESS(4-10*(COLUMN()&gt;5)+(COLUMN()-2)/2,13,4,,"PSE"),1)</f>
        <v>65 pm</v>
      </c>
      <c r="AE12" s="175" t="str">
        <f ca="1">INDIRECT(ADDRESS(4-10*(COLUMN()&gt;5)+(COLUMN()-2)/2,7,4,,"PSE"),1)</f>
        <v>-210 °C</v>
      </c>
      <c r="AF12" s="121" t="str">
        <f ca="1">INDIRECT(ADDRESS(4-10*(COLUMN()&gt;5)+(COLUMN()-2)/2,13,4,,"PSE"),1)</f>
        <v>60 pm</v>
      </c>
      <c r="AG12" s="175" t="str">
        <f ca="1">INDIRECT(ADDRESS(4-10*(COLUMN()&gt;5)+(COLUMN()-2)/2,7,4,,"PSE"),1)</f>
        <v>-218 °C</v>
      </c>
      <c r="AH12" s="121" t="str">
        <f ca="1">INDIRECT(ADDRESS(4-10*(COLUMN()&gt;5)+(COLUMN()-2)/2,13,4,,"PSE"),1)</f>
        <v>50 pm</v>
      </c>
      <c r="AI12" s="175" t="str">
        <f ca="1">INDIRECT(ADDRESS(4-10*(COLUMN()&gt;5)+(COLUMN()-2)/2,7,4,,"PSE"),1)</f>
        <v>-220 °C</v>
      </c>
      <c r="AJ12" s="119" t="str">
        <f ca="1">INDIRECT(ADDRESS(4-10*(COLUMN()&gt;5)+(COLUMN()-2)/2,13,4,,"PSE"),1)</f>
        <v>58 pm</v>
      </c>
      <c r="AK12" s="175" t="str">
        <f ca="1">INDIRECT(ADDRESS(4-10*(COLUMN()&gt;5)+(COLUMN()-2)/2,7,4,,"PSE"),1)</f>
        <v>-249 °C</v>
      </c>
      <c r="AL12" s="110"/>
    </row>
    <row r="13" spans="1:39" s="12" customFormat="1" ht="18" customHeight="1">
      <c r="A13" s="159"/>
      <c r="B13" s="146">
        <f ca="1">INDIRECT(ADDRESS(12-10*(COLUMN()&gt;5)+(COLUMN()-2)/2,1,4,,"PSE"),1)</f>
        <v>11</v>
      </c>
      <c r="C13" s="64">
        <f ca="1">INDIRECT(ADDRESS(12-10*(COLUMN()&gt;5)+(COLUMN()-2)/2,4,4,,"PSE"),1)</f>
        <v>22.99</v>
      </c>
      <c r="D13" s="146">
        <f ca="1">INDIRECT(ADDRESS(12-10*(COLUMN()&gt;5)+(COLUMN()-2)/2,1,4,,"PSE"),1)</f>
        <v>12</v>
      </c>
      <c r="E13" s="67">
        <f ca="1">INDIRECT(ADDRESS(12-10*(COLUMN()&gt;5)+(COLUMN()-2)/2,4,4,,"PSE"),1)</f>
        <v>24.31</v>
      </c>
      <c r="F13" s="72"/>
      <c r="G13" s="117" t="s">
        <v>1309</v>
      </c>
      <c r="H13" s="72"/>
      <c r="J13" s="72"/>
      <c r="K13" s="190" t="s">
        <v>1317</v>
      </c>
      <c r="L13" s="230" t="s">
        <v>820</v>
      </c>
      <c r="M13" s="230"/>
      <c r="N13" s="72"/>
      <c r="P13" s="72"/>
      <c r="R13" s="116" t="s">
        <v>1058</v>
      </c>
      <c r="S13" s="39" t="s">
        <v>1057</v>
      </c>
      <c r="T13" s="86"/>
      <c r="U13" s="39"/>
      <c r="V13" s="86"/>
      <c r="W13" s="39"/>
      <c r="X13" s="84"/>
      <c r="Y13" s="68"/>
      <c r="Z13" s="146">
        <f ca="1">INDIRECT(ADDRESS(12-10*(COLUMN()&gt;5)+(COLUMN()-2)/2,1,4,,"PSE"),1)</f>
        <v>13</v>
      </c>
      <c r="AA13" s="65">
        <f ca="1">INDIRECT(ADDRESS(12-10*(COLUMN()&gt;5)+(COLUMN()-2)/2,4,4,,"PSE"),1)</f>
        <v>26.981999999999999</v>
      </c>
      <c r="AB13" s="148">
        <f ca="1">INDIRECT(ADDRESS(12-10*(COLUMN()&gt;5)+(COLUMN()-2)/2,1,4,,"PSE"),1)</f>
        <v>14</v>
      </c>
      <c r="AC13" s="66">
        <f ca="1">INDIRECT(ADDRESS(12-10*(COLUMN()&gt;5)+(COLUMN()-2)/2,4,4,,"PSE"),1)</f>
        <v>28.085000000000001</v>
      </c>
      <c r="AD13" s="147">
        <f ca="1">INDIRECT(ADDRESS(12-10*(COLUMN()&gt;5)+(COLUMN()-2)/2,1,4,,"PSE"),1)</f>
        <v>15</v>
      </c>
      <c r="AE13" s="122">
        <f ca="1">INDIRECT(ADDRESS(12-10*(COLUMN()&gt;5)+(COLUMN()-2)/2,4,4,,"PSE"),1)</f>
        <v>30.974</v>
      </c>
      <c r="AF13" s="147">
        <f ca="1">INDIRECT(ADDRESS(12-10*(COLUMN()&gt;5)+(COLUMN()-2)/2,1,4,,"PSE"),1)</f>
        <v>16</v>
      </c>
      <c r="AG13" s="122">
        <f ca="1">INDIRECT(ADDRESS(12-10*(COLUMN()&gt;5)+(COLUMN()-2)/2,4,4,,"PSE"),1)</f>
        <v>32.06</v>
      </c>
      <c r="AH13" s="147">
        <f ca="1">INDIRECT(ADDRESS(12-10*(COLUMN()&gt;5)+(COLUMN()-2)/2,1,4,,"PSE"),1)</f>
        <v>17</v>
      </c>
      <c r="AI13" s="122">
        <f ca="1">INDIRECT(ADDRESS(12-10*(COLUMN()&gt;5)+(COLUMN()-2)/2,4,4,,"PSE"),1)</f>
        <v>35.450000000000003</v>
      </c>
      <c r="AJ13" s="147">
        <f ca="1">INDIRECT(ADDRESS(12-10*(COLUMN()&gt;5)+(COLUMN()-2)/2,1,4,,"PSE"),1)</f>
        <v>18</v>
      </c>
      <c r="AK13" s="122">
        <f ca="1">INDIRECT(ADDRESS(12-10*(COLUMN()&gt;5)+(COLUMN()-2)/2,4,4,,"PSE"),1)</f>
        <v>39.948</v>
      </c>
      <c r="AL13" s="109"/>
    </row>
    <row r="14" spans="1:39" ht="30" customHeight="1">
      <c r="A14" s="164" t="s">
        <v>546</v>
      </c>
      <c r="B14" s="95" t="str">
        <f ca="1">INDIRECT(ADDRESS(12-10*(COLUMN()&gt;5)+(COLUMN()-2)/2,8,4,,"PSE"),1)</f>
        <v>0,97 g/cm³</v>
      </c>
      <c r="C14" s="13" t="str">
        <f ca="1">INDIRECT(ADDRESS(12-10*(COLUMN()&gt;5)+(COLUMN()-2)/2,2,4,,"PSE"),1)</f>
        <v>Na</v>
      </c>
      <c r="D14" s="95" t="str">
        <f ca="1">INDIRECT(ADDRESS(12-10*(COLUMN()&gt;5)+(COLUMN()-2)/2,8,4,,"PSE"),1)</f>
        <v>1,74 g/cm³</v>
      </c>
      <c r="E14" s="13" t="str">
        <f ca="1">INDIRECT(ADDRESS(12-10*(COLUMN()&gt;5)+(COLUMN()-2)/2,2,4,,"PSE"),1)</f>
        <v>Mg</v>
      </c>
      <c r="G14" s="213"/>
      <c r="H14" s="213"/>
      <c r="I14" s="213"/>
      <c r="L14" s="48" t="s">
        <v>1066</v>
      </c>
      <c r="N14" s="87"/>
      <c r="Q14" s="40"/>
      <c r="R14" s="86"/>
      <c r="S14" s="48" t="s">
        <v>1065</v>
      </c>
      <c r="T14" s="86"/>
      <c r="U14" s="39"/>
      <c r="V14" s="86"/>
      <c r="W14" s="39"/>
      <c r="X14" s="85"/>
      <c r="Y14" s="3"/>
      <c r="Z14" s="95" t="str">
        <f ca="1">INDIRECT(ADDRESS(12-10*(COLUMN()&gt;5)+(COLUMN()-2)/2,8,4,,"PSE"),1)</f>
        <v>2,7 g/cm³</v>
      </c>
      <c r="AA14" s="13" t="str">
        <f ca="1">INDIRECT(ADDRESS(12-10*(COLUMN()&gt;5)+(COLUMN()-2)/2,2,4,,"PSE"),1)</f>
        <v>Al</v>
      </c>
      <c r="AB14" s="96" t="str">
        <f ca="1">INDIRECT(ADDRESS(12-10*(COLUMN()&gt;5)+(COLUMN()-2)/2,8,4,,"PSE"),1)</f>
        <v>2,34 g/cm³</v>
      </c>
      <c r="AC14" s="37" t="str">
        <f ca="1">INDIRECT(ADDRESS(12-10*(COLUMN()&gt;5)+(COLUMN()-2)/2,2,4,,"PSE"),1)</f>
        <v>Si</v>
      </c>
      <c r="AD14" s="118" t="str">
        <f ca="1">INDIRECT(ADDRESS(12-10*(COLUMN()&gt;5)+(COLUMN()-2)/2,8,4,,"PSE"),1)</f>
        <v>1,83 g/cm³</v>
      </c>
      <c r="AE14" s="126" t="str">
        <f ca="1">INDIRECT(ADDRESS(12-10*(COLUMN()&gt;5)+(COLUMN()-2)/2,2,4,,"PSE"),1)</f>
        <v>P</v>
      </c>
      <c r="AF14" s="118" t="str">
        <f ca="1">INDIRECT(ADDRESS(12-10*(COLUMN()&gt;5)+(COLUMN()-2)/2,8,4,,"PSE"),1)</f>
        <v>2,07 g/cm³</v>
      </c>
      <c r="AG14" s="126" t="str">
        <f ca="1">INDIRECT(ADDRESS(12-10*(COLUMN()&gt;5)+(COLUMN()-2)/2,2,4,,"PSE"),1)</f>
        <v>S</v>
      </c>
      <c r="AH14" s="118" t="str">
        <f ca="1">INDIRECT(ADDRESS(12-10*(COLUMN()&gt;5)+(COLUMN()-2)/2,8,4,,"PSE"),1)</f>
        <v>3 g/L</v>
      </c>
      <c r="AI14" s="120" t="str">
        <f ca="1">INDIRECT(ADDRESS(12-10*(COLUMN()&gt;5)+(COLUMN()-2)/2,2,4,,"PSE"),1)</f>
        <v>Cl</v>
      </c>
      <c r="AJ14" s="118" t="str">
        <f ca="1">INDIRECT(ADDRESS(12-10*(COLUMN()&gt;5)+(COLUMN()-2)/2,8,4,,"PSE"),1)</f>
        <v>1,78 g/L</v>
      </c>
      <c r="AK14" s="127" t="str">
        <f ca="1">INDIRECT(ADDRESS(12-10*(COLUMN()&gt;5)+(COLUMN()-2)/2,2,4,,"PSE"),1)</f>
        <v>Ar</v>
      </c>
      <c r="AL14" s="102"/>
      <c r="AM14" s="12"/>
    </row>
    <row r="15" spans="1:39" s="12" customFormat="1" ht="13.9" customHeight="1">
      <c r="A15" s="159"/>
      <c r="B15" s="192" t="str">
        <f ca="1">INDIRECT(ADDRESS(12-10*(COLUMN()&gt;5)+(COLUMN()-2)/2,3,4,,"PSE"),1)</f>
        <v>Natrium</v>
      </c>
      <c r="C15" s="193"/>
      <c r="D15" s="192" t="str">
        <f ca="1">INDIRECT(ADDRESS(12-10*(COLUMN()&gt;5)+(COLUMN()-2)/2,3,4,,"PSE"),1)</f>
        <v>Magnesium</v>
      </c>
      <c r="E15" s="193"/>
      <c r="F15" s="72"/>
      <c r="H15" s="72"/>
      <c r="J15" s="72"/>
      <c r="L15" s="72"/>
      <c r="N15" s="72"/>
      <c r="P15" s="72"/>
      <c r="R15" s="72"/>
      <c r="T15" s="72"/>
      <c r="V15" s="72"/>
      <c r="X15" s="72"/>
      <c r="Z15" s="192" t="str">
        <f ca="1">INDIRECT(ADDRESS(12-10*(COLUMN()&gt;5)+(COLUMN()-2)/2,3,4,,"PSE"),1)</f>
        <v>Aluminium</v>
      </c>
      <c r="AA15" s="193"/>
      <c r="AB15" s="204" t="str">
        <f ca="1">INDIRECT(ADDRESS(12-10*(COLUMN()&gt;5)+(COLUMN()-2)/2,3,4,,"PSE"),1)</f>
        <v>Silicium</v>
      </c>
      <c r="AC15" s="205"/>
      <c r="AD15" s="202" t="str">
        <f ca="1">INDIRECT(ADDRESS(12-10*(COLUMN()&gt;5)+(COLUMN()-2)/2,3,4,,"PSE"),1)</f>
        <v>Phosphor</v>
      </c>
      <c r="AE15" s="203"/>
      <c r="AF15" s="202" t="str">
        <f ca="1">INDIRECT(ADDRESS(12-10*(COLUMN()&gt;5)+(COLUMN()-2)/2,3,4,,"PSE"),1)</f>
        <v>Schwefel</v>
      </c>
      <c r="AG15" s="203"/>
      <c r="AH15" s="202" t="str">
        <f ca="1">INDIRECT(ADDRESS(12-10*(COLUMN()&gt;5)+(COLUMN()-2)/2,3,4,,"PSE"),1)</f>
        <v>Chlor</v>
      </c>
      <c r="AI15" s="203"/>
      <c r="AJ15" s="202" t="str">
        <f ca="1">INDIRECT(ADDRESS(12-10*(COLUMN()&gt;5)+(COLUMN()-2)/2,3,4,,"PSE"),1)</f>
        <v>Argon</v>
      </c>
      <c r="AK15" s="203"/>
      <c r="AL15" s="103"/>
    </row>
    <row r="16" spans="1:39" s="12" customFormat="1" ht="15" customHeight="1">
      <c r="A16" s="159"/>
      <c r="B16" s="273">
        <f ca="1">INDIRECT(ADDRESS(12-10*(COLUMN()&gt;5)+(COLUMN()-2)/2,5,4,,"PSE"),1)</f>
        <v>0.9</v>
      </c>
      <c r="C16" s="254" t="str">
        <f ca="1">INDIRECT(ADDRESS(12-10*(COLUMN()&gt;5)+(COLUMN()-2)/2,6,4,,"PSE"),1)</f>
        <v>890 °C</v>
      </c>
      <c r="D16" s="251">
        <f ca="1">INDIRECT(ADDRESS(12-10*(COLUMN()&gt;5)+(COLUMN()-2)/2,5,4,,"PSE"),1)</f>
        <v>1.2</v>
      </c>
      <c r="E16" s="254" t="str">
        <f ca="1">INDIRECT(ADDRESS(12-10*(COLUMN()&gt;5)+(COLUMN()-2)/2,6,4,,"PSE"),1)</f>
        <v>1.110 °C</v>
      </c>
      <c r="F16" s="274" t="s">
        <v>439</v>
      </c>
      <c r="G16" s="274"/>
      <c r="H16" s="274" t="s">
        <v>440</v>
      </c>
      <c r="I16" s="274"/>
      <c r="J16" s="274" t="s">
        <v>441</v>
      </c>
      <c r="K16" s="274"/>
      <c r="L16" s="274" t="s">
        <v>442</v>
      </c>
      <c r="M16" s="274"/>
      <c r="N16" s="274" t="s">
        <v>443</v>
      </c>
      <c r="O16" s="274"/>
      <c r="P16" s="274"/>
      <c r="Q16" s="274"/>
      <c r="R16" s="274" t="s">
        <v>444</v>
      </c>
      <c r="S16" s="274"/>
      <c r="T16" s="274"/>
      <c r="U16" s="274"/>
      <c r="V16" s="274" t="s">
        <v>445</v>
      </c>
      <c r="W16" s="274"/>
      <c r="X16" s="274" t="s">
        <v>446</v>
      </c>
      <c r="Y16" s="274"/>
      <c r="Z16" s="251">
        <f ca="1">INDIRECT(ADDRESS(12-10*(COLUMN()&gt;5)+(COLUMN()-2)/2,5,4,,"PSE"),1)</f>
        <v>1.5</v>
      </c>
      <c r="AA16" s="254" t="str">
        <f ca="1">INDIRECT(ADDRESS(12-10*(COLUMN()&gt;5)+(COLUMN()-2)/2,6,4,,"PSE"),1)</f>
        <v>2.470 °C</v>
      </c>
      <c r="AB16" s="259">
        <f ca="1">INDIRECT(ADDRESS(12-10*(COLUMN()&gt;5)+(COLUMN()-2)/2,5,4,,"PSE"),1)</f>
        <v>1.8</v>
      </c>
      <c r="AC16" s="260" t="str">
        <f ca="1">INDIRECT(ADDRESS(12-10*(COLUMN()&gt;5)+(COLUMN()-2)/2,6,4,,"PSE"),1)</f>
        <v>3.260 °C</v>
      </c>
      <c r="AD16" s="263">
        <f ca="1">INDIRECT(ADDRESS(12-10*(COLUMN()&gt;5)+(COLUMN()-2)/2,5,4,,"PSE"),1)</f>
        <v>2.1</v>
      </c>
      <c r="AE16" s="262" t="str">
        <f ca="1">INDIRECT(ADDRESS(12-10*(COLUMN()&gt;5)+(COLUMN()-2)/2,6,4,,"PSE"),1)</f>
        <v>280 °C</v>
      </c>
      <c r="AF16" s="263">
        <f ca="1">INDIRECT(ADDRESS(12-10*(COLUMN()&gt;5)+(COLUMN()-2)/2,5,4,,"PSE"),1)</f>
        <v>2.5</v>
      </c>
      <c r="AG16" s="262" t="str">
        <f ca="1">INDIRECT(ADDRESS(12-10*(COLUMN()&gt;5)+(COLUMN()-2)/2,6,4,,"PSE"),1)</f>
        <v>445 °C</v>
      </c>
      <c r="AH16" s="263">
        <f ca="1">INDIRECT(ADDRESS(12-10*(COLUMN()&gt;5)+(COLUMN()-2)/2,5,4,,"PSE"),1)</f>
        <v>3</v>
      </c>
      <c r="AI16" s="262" t="str">
        <f ca="1">INDIRECT(ADDRESS(12-10*(COLUMN()&gt;5)+(COLUMN()-2)/2,6,4,,"PSE"),1)</f>
        <v>-35 °C</v>
      </c>
      <c r="AJ16" s="261">
        <f ca="1">INDIRECT(ADDRESS(12-10*(COLUMN()&gt;5)+(COLUMN()-2)/2,5,4,,"PSE"),1)</f>
        <v>0</v>
      </c>
      <c r="AK16" s="262" t="str">
        <f ca="1">INDIRECT(ADDRESS(12-10*(COLUMN()&gt;5)+(COLUMN()-2)/2,6,4,,"PSE"),1)</f>
        <v>-186 °C</v>
      </c>
      <c r="AL16" s="264"/>
    </row>
    <row r="17" spans="1:38" s="12" customFormat="1" ht="11.45" customHeight="1">
      <c r="A17" s="159"/>
      <c r="B17" s="74" t="str">
        <f ca="1">INDIRECT(ADDRESS(12-10*(COLUMN()&gt;5)+(COLUMN()-2)/2,13,4,,"PSE"),1)</f>
        <v>180 pm</v>
      </c>
      <c r="C17" s="172" t="str">
        <f ca="1">INDIRECT(ADDRESS(12-10*(COLUMN()&gt;5)+(COLUMN()-2)/2,7,4,,"PSE"),1)</f>
        <v>98 °C</v>
      </c>
      <c r="D17" s="74" t="str">
        <f ca="1">INDIRECT(ADDRESS(12-10*(COLUMN()&gt;5)+(COLUMN()-2)/2,13,4,,"PSE"),1)</f>
        <v>150 pm</v>
      </c>
      <c r="E17" s="172" t="str">
        <f ca="1">INDIRECT(ADDRESS(12-10*(COLUMN()&gt;5)+(COLUMN()-2)/2,7,4,,"PSE"),1)</f>
        <v>650 °C</v>
      </c>
      <c r="F17" s="72"/>
      <c r="H17" s="72"/>
      <c r="J17" s="72"/>
      <c r="L17" s="72"/>
      <c r="M17" s="210" t="s">
        <v>551</v>
      </c>
      <c r="N17" s="210"/>
      <c r="O17" s="210"/>
      <c r="P17" s="72"/>
      <c r="R17" s="72"/>
      <c r="T17" s="72"/>
      <c r="V17" s="72"/>
      <c r="X17" s="72"/>
      <c r="Z17" s="74" t="str">
        <f ca="1">INDIRECT(ADDRESS(12-10*(COLUMN()&gt;5)+(COLUMN()-2)/2,13,4,,"PSE"),1)</f>
        <v>125 pm</v>
      </c>
      <c r="AA17" s="172" t="str">
        <f ca="1">INDIRECT(ADDRESS(12-10*(COLUMN()&gt;5)+(COLUMN()-2)/2,7,4,,"PSE"),1)</f>
        <v>660 °C</v>
      </c>
      <c r="AB17" s="73" t="str">
        <f ca="1">INDIRECT(ADDRESS(12-10*(COLUMN()&gt;5)+(COLUMN()-2)/2,13,4,,"PSE"),1)</f>
        <v>110 pm</v>
      </c>
      <c r="AC17" s="174" t="str">
        <f ca="1">INDIRECT(ADDRESS(12-10*(COLUMN()&gt;5)+(COLUMN()-2)/2,7,4,,"PSE"),1)</f>
        <v>1.410 °C</v>
      </c>
      <c r="AD17" s="121" t="str">
        <f ca="1">INDIRECT(ADDRESS(12-10*(COLUMN()&gt;5)+(COLUMN()-2)/2,13,4,,"PSE"),1)</f>
        <v>100 pm</v>
      </c>
      <c r="AE17" s="175" t="str">
        <f ca="1">INDIRECT(ADDRESS(12-10*(COLUMN()&gt;5)+(COLUMN()-2)/2,7,4,,"PSE"),1)</f>
        <v>44 °C</v>
      </c>
      <c r="AF17" s="121" t="str">
        <f ca="1">INDIRECT(ADDRESS(12-10*(COLUMN()&gt;5)+(COLUMN()-2)/2,13,4,,"PSE"),1)</f>
        <v>100 pm</v>
      </c>
      <c r="AG17" s="175" t="str">
        <f ca="1">INDIRECT(ADDRESS(12-10*(COLUMN()&gt;5)+(COLUMN()-2)/2,7,4,,"PSE"),1)</f>
        <v>115 °C</v>
      </c>
      <c r="AH17" s="121" t="str">
        <f ca="1">INDIRECT(ADDRESS(12-10*(COLUMN()&gt;5)+(COLUMN()-2)/2,13,4,,"PSE"),1)</f>
        <v>100 pm</v>
      </c>
      <c r="AI17" s="175" t="str">
        <f ca="1">INDIRECT(ADDRESS(12-10*(COLUMN()&gt;5)+(COLUMN()-2)/2,7,4,,"PSE"),1)</f>
        <v>-102 °C</v>
      </c>
      <c r="AJ17" s="119" t="str">
        <f ca="1">INDIRECT(ADDRESS(12-10*(COLUMN()&gt;5)+(COLUMN()-2)/2,13,4,,"PSE"),1)</f>
        <v>106 pm</v>
      </c>
      <c r="AK17" s="175" t="str">
        <f ca="1">INDIRECT(ADDRESS(12-10*(COLUMN()&gt;5)+(COLUMN()-2)/2,7,4,,"PSE"),1)</f>
        <v>-189 °C</v>
      </c>
      <c r="AL17" s="110"/>
    </row>
    <row r="18" spans="1:38" s="12" customFormat="1" ht="18" customHeight="1">
      <c r="A18" s="159"/>
      <c r="B18" s="146">
        <f ca="1">INDIRECT(ADDRESS(20+(COLUMN()-2)/2,1,4,,"PSE"),1)</f>
        <v>19</v>
      </c>
      <c r="C18" s="153">
        <f ca="1">INDIRECT(ADDRESS(20+(COLUMN()-2)/2,4,4,,"PSE"),1)</f>
        <v>39.097999999999999</v>
      </c>
      <c r="D18" s="146">
        <f ca="1">INDIRECT(ADDRESS(20+(COLUMN()-2)/2,1,4,,"PSE"),1)</f>
        <v>20</v>
      </c>
      <c r="E18" s="64">
        <f ca="1">INDIRECT(ADDRESS(20+(COLUMN()-2)/2,4,4,,"PSE"),1)</f>
        <v>40.078000000000003</v>
      </c>
      <c r="F18" s="146">
        <f t="shared" ref="F18" ca="1" si="0">INDIRECT(ADDRESS(20+(COLUMN()-2)/2,1,4,,"PSE"),1)</f>
        <v>21</v>
      </c>
      <c r="G18" s="64">
        <f t="shared" ref="G18" ca="1" si="1">INDIRECT(ADDRESS(20+(COLUMN()-2)/2,4,4,,"PSE"),1)</f>
        <v>44.956000000000003</v>
      </c>
      <c r="H18" s="146">
        <f t="shared" ref="H18" ca="1" si="2">INDIRECT(ADDRESS(20+(COLUMN()-2)/2,1,4,,"PSE"),1)</f>
        <v>22</v>
      </c>
      <c r="I18" s="64">
        <f t="shared" ref="I18" ca="1" si="3">INDIRECT(ADDRESS(20+(COLUMN()-2)/2,4,4,,"PSE"),1)</f>
        <v>47.866999999999997</v>
      </c>
      <c r="J18" s="146">
        <f t="shared" ref="J18" ca="1" si="4">INDIRECT(ADDRESS(20+(COLUMN()-2)/2,1,4,,"PSE"),1)</f>
        <v>23</v>
      </c>
      <c r="K18" s="64">
        <f t="shared" ref="K18" ca="1" si="5">INDIRECT(ADDRESS(20+(COLUMN()-2)/2,4,4,,"PSE"),1)</f>
        <v>50.942</v>
      </c>
      <c r="L18" s="146">
        <f t="shared" ref="L18" ca="1" si="6">INDIRECT(ADDRESS(20+(COLUMN()-2)/2,1,4,,"PSE"),1)</f>
        <v>24</v>
      </c>
      <c r="M18" s="154">
        <f t="shared" ref="M18" ca="1" si="7">INDIRECT(ADDRESS(20+(COLUMN()-2)/2,4,4,,"PSE"),1)</f>
        <v>51.996000000000002</v>
      </c>
      <c r="N18" s="146">
        <f t="shared" ref="N18" ca="1" si="8">INDIRECT(ADDRESS(20+(COLUMN()-2)/2,1,4,,"PSE"),1)</f>
        <v>25</v>
      </c>
      <c r="O18" s="64">
        <f t="shared" ref="O18" ca="1" si="9">INDIRECT(ADDRESS(20+(COLUMN()-2)/2,4,4,,"PSE"),1)</f>
        <v>54.938000000000002</v>
      </c>
      <c r="P18" s="146">
        <f t="shared" ref="P18" ca="1" si="10">INDIRECT(ADDRESS(20+(COLUMN()-2)/2,1,4,,"PSE"),1)</f>
        <v>26</v>
      </c>
      <c r="Q18" s="64">
        <f t="shared" ref="Q18" ca="1" si="11">INDIRECT(ADDRESS(20+(COLUMN()-2)/2,4,4,,"PSE"),1)</f>
        <v>55.844999999999999</v>
      </c>
      <c r="R18" s="146">
        <f t="shared" ref="R18" ca="1" si="12">INDIRECT(ADDRESS(20+(COLUMN()-2)/2,1,4,,"PSE"),1)</f>
        <v>27</v>
      </c>
      <c r="S18" s="64">
        <f t="shared" ref="S18" ca="1" si="13">INDIRECT(ADDRESS(20+(COLUMN()-2)/2,4,4,,"PSE"),1)</f>
        <v>58.933</v>
      </c>
      <c r="T18" s="146">
        <f t="shared" ref="T18" ca="1" si="14">INDIRECT(ADDRESS(20+(COLUMN()-2)/2,1,4,,"PSE"),1)</f>
        <v>28</v>
      </c>
      <c r="U18" s="64">
        <f t="shared" ref="U18" ca="1" si="15">INDIRECT(ADDRESS(20+(COLUMN()-2)/2,4,4,,"PSE"),1)</f>
        <v>58.692999999999998</v>
      </c>
      <c r="V18" s="146">
        <f t="shared" ref="V18" ca="1" si="16">INDIRECT(ADDRESS(20+(COLUMN()-2)/2,1,4,,"PSE"),1)</f>
        <v>29</v>
      </c>
      <c r="W18" s="64">
        <f t="shared" ref="W18" ca="1" si="17">INDIRECT(ADDRESS(20+(COLUMN()-2)/2,4,4,,"PSE"),1)</f>
        <v>63.545999999999999</v>
      </c>
      <c r="X18" s="146">
        <f t="shared" ref="X18" ca="1" si="18">INDIRECT(ADDRESS(20+(COLUMN()-2)/2,1,4,,"PSE"),1)</f>
        <v>30</v>
      </c>
      <c r="Y18" s="64">
        <f t="shared" ref="Y18" ca="1" si="19">INDIRECT(ADDRESS(20+(COLUMN()-2)/2,4,4,,"PSE"),1)</f>
        <v>65.382000000000005</v>
      </c>
      <c r="Z18" s="146">
        <f t="shared" ref="Z18:AJ18" ca="1" si="20">INDIRECT(ADDRESS(20+(COLUMN()-2)/2,1,4,,"PSE"),1)</f>
        <v>31</v>
      </c>
      <c r="AA18" s="64">
        <f t="shared" ref="AA18:AK18" ca="1" si="21">INDIRECT(ADDRESS(20+(COLUMN()-2)/2,4,4,,"PSE"),1)</f>
        <v>69.722999999999999</v>
      </c>
      <c r="AB18" s="148">
        <f t="shared" ca="1" si="20"/>
        <v>32</v>
      </c>
      <c r="AC18" s="66">
        <f t="shared" ca="1" si="21"/>
        <v>72.631</v>
      </c>
      <c r="AD18" s="148">
        <f t="shared" ca="1" si="20"/>
        <v>33</v>
      </c>
      <c r="AE18" s="66">
        <f t="shared" ca="1" si="21"/>
        <v>74.921999999999997</v>
      </c>
      <c r="AF18" s="148">
        <f t="shared" ca="1" si="20"/>
        <v>34</v>
      </c>
      <c r="AG18" s="66">
        <f t="shared" ca="1" si="21"/>
        <v>78.971999999999994</v>
      </c>
      <c r="AH18" s="147">
        <f t="shared" ca="1" si="20"/>
        <v>35</v>
      </c>
      <c r="AI18" s="123">
        <f t="shared" ca="1" si="21"/>
        <v>79.903999999999996</v>
      </c>
      <c r="AJ18" s="147">
        <f t="shared" ca="1" si="20"/>
        <v>36</v>
      </c>
      <c r="AK18" s="123">
        <f t="shared" ca="1" si="21"/>
        <v>83.798000000000002</v>
      </c>
      <c r="AL18" s="109"/>
    </row>
    <row r="19" spans="1:38" s="12" customFormat="1" ht="30" customHeight="1">
      <c r="A19" s="164" t="s">
        <v>547</v>
      </c>
      <c r="B19" s="95" t="str">
        <f ca="1">INDIRECT(ADDRESS(20+(COLUMN()-2)/2,8,4,,"PSE"),1)</f>
        <v>0,856 g/cm³</v>
      </c>
      <c r="C19" s="13" t="str">
        <f ca="1">INDIRECT(ADDRESS(20+(COLUMN()-2)/2,2,4,,"PSE"),1)</f>
        <v>K</v>
      </c>
      <c r="D19" s="95" t="str">
        <f ca="1">INDIRECT(ADDRESS(20+(COLUMN()-2)/2,8,4,,"PSE"),1)</f>
        <v>1,55 g/cm³</v>
      </c>
      <c r="E19" s="13" t="str">
        <f ca="1">INDIRECT(ADDRESS(20+(COLUMN()-2)/2,2,4,,"PSE"),1)</f>
        <v>Ca</v>
      </c>
      <c r="F19" s="95" t="str">
        <f t="shared" ref="F19" ca="1" si="22">INDIRECT(ADDRESS(20+(COLUMN()-2)/2,8,4,,"PSE"),1)</f>
        <v>2,99 g/cm³</v>
      </c>
      <c r="G19" s="13" t="str">
        <f t="shared" ref="G19" ca="1" si="23">INDIRECT(ADDRESS(20+(COLUMN()-2)/2,2,4,,"PSE"),1)</f>
        <v>Sc</v>
      </c>
      <c r="H19" s="95" t="str">
        <f t="shared" ref="H19" ca="1" si="24">INDIRECT(ADDRESS(20+(COLUMN()-2)/2,8,4,,"PSE"),1)</f>
        <v>4,5 g/cm³</v>
      </c>
      <c r="I19" s="13" t="str">
        <f t="shared" ref="I19" ca="1" si="25">INDIRECT(ADDRESS(20+(COLUMN()-2)/2,2,4,,"PSE"),1)</f>
        <v>Ti</v>
      </c>
      <c r="J19" s="95" t="str">
        <f t="shared" ref="J19" ca="1" si="26">INDIRECT(ADDRESS(20+(COLUMN()-2)/2,8,4,,"PSE"),1)</f>
        <v>6,11 g/cm³</v>
      </c>
      <c r="K19" s="13" t="str">
        <f t="shared" ref="K19" ca="1" si="27">INDIRECT(ADDRESS(20+(COLUMN()-2)/2,2,4,,"PSE"),1)</f>
        <v>V</v>
      </c>
      <c r="L19" s="95" t="str">
        <f t="shared" ref="L19" ca="1" si="28">INDIRECT(ADDRESS(20+(COLUMN()-2)/2,8,4,,"PSE"),1)</f>
        <v>7,14 g/cm³</v>
      </c>
      <c r="M19" s="13" t="str">
        <f t="shared" ref="M19" ca="1" si="29">INDIRECT(ADDRESS(20+(COLUMN()-2)/2,2,4,,"PSE"),1)</f>
        <v>Cr</v>
      </c>
      <c r="N19" s="95" t="str">
        <f t="shared" ref="N19" ca="1" si="30">INDIRECT(ADDRESS(20+(COLUMN()-2)/2,8,4,,"PSE"),1)</f>
        <v>7,43 g/cm³</v>
      </c>
      <c r="O19" s="13" t="str">
        <f t="shared" ref="O19" ca="1" si="31">INDIRECT(ADDRESS(20+(COLUMN()-2)/2,2,4,,"PSE"),1)</f>
        <v>Mn</v>
      </c>
      <c r="P19" s="95" t="str">
        <f t="shared" ref="P19" ca="1" si="32">INDIRECT(ADDRESS(20+(COLUMN()-2)/2,8,4,,"PSE"),1)</f>
        <v>7,87 g/cm³</v>
      </c>
      <c r="Q19" s="13" t="str">
        <f t="shared" ref="Q19" ca="1" si="33">INDIRECT(ADDRESS(20+(COLUMN()-2)/2,2,4,,"PSE"),1)</f>
        <v>Fe</v>
      </c>
      <c r="R19" s="95" t="str">
        <f t="shared" ref="R19" ca="1" si="34">INDIRECT(ADDRESS(20+(COLUMN()-2)/2,8,4,,"PSE"),1)</f>
        <v>8,9 g/cm³</v>
      </c>
      <c r="S19" s="13" t="str">
        <f t="shared" ref="S19" ca="1" si="35">INDIRECT(ADDRESS(20+(COLUMN()-2)/2,2,4,,"PSE"),1)</f>
        <v>Co</v>
      </c>
      <c r="T19" s="95" t="str">
        <f t="shared" ref="T19" ca="1" si="36">INDIRECT(ADDRESS(20+(COLUMN()-2)/2,8,4,,"PSE"),1)</f>
        <v>8,91 g/cm³</v>
      </c>
      <c r="U19" s="13" t="str">
        <f t="shared" ref="U19" ca="1" si="37">INDIRECT(ADDRESS(20+(COLUMN()-2)/2,2,4,,"PSE"),1)</f>
        <v>Ni</v>
      </c>
      <c r="V19" s="95" t="str">
        <f t="shared" ref="V19" ca="1" si="38">INDIRECT(ADDRESS(20+(COLUMN()-2)/2,8,4,,"PSE"),1)</f>
        <v>8,92 g/cm³</v>
      </c>
      <c r="W19" s="13" t="str">
        <f t="shared" ref="W19" ca="1" si="39">INDIRECT(ADDRESS(20+(COLUMN()-2)/2,2,4,,"PSE"),1)</f>
        <v>Cu</v>
      </c>
      <c r="X19" s="95" t="str">
        <f t="shared" ref="X19:AJ19" ca="1" si="40">INDIRECT(ADDRESS(20+(COLUMN()-2)/2,8,4,,"PSE"),1)</f>
        <v>7,14 g/cm³</v>
      </c>
      <c r="Y19" s="13" t="str">
        <f t="shared" ref="Y19:AK19" ca="1" si="41">INDIRECT(ADDRESS(20+(COLUMN()-2)/2,2,4,,"PSE"),1)</f>
        <v>Zn</v>
      </c>
      <c r="Z19" s="95" t="str">
        <f t="shared" ca="1" si="40"/>
        <v>5,9 g/cm³</v>
      </c>
      <c r="AA19" s="13" t="str">
        <f t="shared" ca="1" si="41"/>
        <v>Ga</v>
      </c>
      <c r="AB19" s="96" t="str">
        <f t="shared" ca="1" si="40"/>
        <v>5,32 g/cm³</v>
      </c>
      <c r="AC19" s="37" t="str">
        <f t="shared" ca="1" si="41"/>
        <v>Ge</v>
      </c>
      <c r="AD19" s="96" t="str">
        <f t="shared" ca="1" si="40"/>
        <v>5,72 g/cm³</v>
      </c>
      <c r="AE19" s="37" t="str">
        <f t="shared" ca="1" si="41"/>
        <v>As</v>
      </c>
      <c r="AF19" s="96" t="str">
        <f t="shared" ca="1" si="40"/>
        <v>4,28 g/cm³</v>
      </c>
      <c r="AG19" s="37" t="str">
        <f t="shared" ca="1" si="41"/>
        <v>Se</v>
      </c>
      <c r="AH19" s="118" t="str">
        <f t="shared" ca="1" si="40"/>
        <v>3,12 g/cm³</v>
      </c>
      <c r="AI19" s="128" t="str">
        <f t="shared" ca="1" si="41"/>
        <v>Br</v>
      </c>
      <c r="AJ19" s="118" t="str">
        <f t="shared" ca="1" si="40"/>
        <v>3,49 g/L</v>
      </c>
      <c r="AK19" s="127" t="str">
        <f t="shared" ca="1" si="41"/>
        <v>Kr</v>
      </c>
      <c r="AL19" s="102"/>
    </row>
    <row r="20" spans="1:38" s="12" customFormat="1" ht="13.9" customHeight="1">
      <c r="A20" s="159"/>
      <c r="B20" s="192" t="str">
        <f ca="1">INDIRECT(ADDRESS(20+(COLUMN()-2)/2,3,4,,"PSE"),1)</f>
        <v>Kalium</v>
      </c>
      <c r="C20" s="193"/>
      <c r="D20" s="192" t="str">
        <f ca="1">INDIRECT(ADDRESS(20+(COLUMN()-2)/2,3,4,,"PSE"),1)</f>
        <v>Calcium</v>
      </c>
      <c r="E20" s="193"/>
      <c r="F20" s="192" t="str">
        <f t="shared" ref="F20" ca="1" si="42">INDIRECT(ADDRESS(20+(COLUMN()-2)/2,3,4,,"PSE"),1)</f>
        <v>Scandium</v>
      </c>
      <c r="G20" s="193"/>
      <c r="H20" s="192" t="str">
        <f t="shared" ref="H20" ca="1" si="43">INDIRECT(ADDRESS(20+(COLUMN()-2)/2,3,4,,"PSE"),1)</f>
        <v>Titan</v>
      </c>
      <c r="I20" s="193"/>
      <c r="J20" s="192" t="str">
        <f t="shared" ref="J20" ca="1" si="44">INDIRECT(ADDRESS(20+(COLUMN()-2)/2,3,4,,"PSE"),1)</f>
        <v>Vanadium</v>
      </c>
      <c r="K20" s="193"/>
      <c r="L20" s="192" t="str">
        <f t="shared" ref="L20" ca="1" si="45">INDIRECT(ADDRESS(20+(COLUMN()-2)/2,3,4,,"PSE"),1)</f>
        <v>Chrom</v>
      </c>
      <c r="M20" s="193"/>
      <c r="N20" s="192" t="str">
        <f t="shared" ref="N20" ca="1" si="46">INDIRECT(ADDRESS(20+(COLUMN()-2)/2,3,4,,"PSE"),1)</f>
        <v>Mangan</v>
      </c>
      <c r="O20" s="193"/>
      <c r="P20" s="192" t="str">
        <f t="shared" ref="P20" ca="1" si="47">INDIRECT(ADDRESS(20+(COLUMN()-2)/2,3,4,,"PSE"),1)</f>
        <v>Eisen</v>
      </c>
      <c r="Q20" s="193"/>
      <c r="R20" s="192" t="str">
        <f t="shared" ref="R20" ca="1" si="48">INDIRECT(ADDRESS(20+(COLUMN()-2)/2,3,4,,"PSE"),1)</f>
        <v>Cobalt</v>
      </c>
      <c r="S20" s="193"/>
      <c r="T20" s="192" t="str">
        <f t="shared" ref="T20" ca="1" si="49">INDIRECT(ADDRESS(20+(COLUMN()-2)/2,3,4,,"PSE"),1)</f>
        <v>Nickel</v>
      </c>
      <c r="U20" s="193"/>
      <c r="V20" s="192" t="str">
        <f t="shared" ref="V20" ca="1" si="50">INDIRECT(ADDRESS(20+(COLUMN()-2)/2,3,4,,"PSE"),1)</f>
        <v>Kupfer</v>
      </c>
      <c r="W20" s="193"/>
      <c r="X20" s="192" t="str">
        <f t="shared" ref="X20" ca="1" si="51">INDIRECT(ADDRESS(20+(COLUMN()-2)/2,3,4,,"PSE"),1)</f>
        <v>Zink</v>
      </c>
      <c r="Y20" s="193"/>
      <c r="Z20" s="192" t="str">
        <f t="shared" ref="Z20" ca="1" si="52">INDIRECT(ADDRESS(20+(COLUMN()-2)/2,3,4,,"PSE"),1)</f>
        <v>Gallium</v>
      </c>
      <c r="AA20" s="193"/>
      <c r="AB20" s="204" t="str">
        <f t="shared" ref="AB20" ca="1" si="53">INDIRECT(ADDRESS(20+(COLUMN()-2)/2,3,4,,"PSE"),1)</f>
        <v>Germanium</v>
      </c>
      <c r="AC20" s="205"/>
      <c r="AD20" s="204" t="str">
        <f t="shared" ref="AD20" ca="1" si="54">INDIRECT(ADDRESS(20+(COLUMN()-2)/2,3,4,,"PSE"),1)</f>
        <v>Arsen</v>
      </c>
      <c r="AE20" s="205"/>
      <c r="AF20" s="204" t="str">
        <f t="shared" ref="AF20" ca="1" si="55">INDIRECT(ADDRESS(20+(COLUMN()-2)/2,3,4,,"PSE"),1)</f>
        <v>Selen</v>
      </c>
      <c r="AG20" s="205"/>
      <c r="AH20" s="202" t="str">
        <f t="shared" ref="AH20" ca="1" si="56">INDIRECT(ADDRESS(20+(COLUMN()-2)/2,3,4,,"PSE"),1)</f>
        <v>Brom</v>
      </c>
      <c r="AI20" s="203"/>
      <c r="AJ20" s="202" t="str">
        <f t="shared" ref="AJ20" ca="1" si="57">INDIRECT(ADDRESS(20+(COLUMN()-2)/2,3,4,,"PSE"),1)</f>
        <v>Krypton</v>
      </c>
      <c r="AK20" s="203"/>
      <c r="AL20" s="103"/>
    </row>
    <row r="21" spans="1:38" s="12" customFormat="1" ht="15" customHeight="1">
      <c r="A21" s="159"/>
      <c r="B21" s="273">
        <f ca="1">INDIRECT(ADDRESS(20+(COLUMN()-2)/2,5,4,,"PSE"),1)</f>
        <v>0.8</v>
      </c>
      <c r="C21" s="254" t="str">
        <f ca="1">INDIRECT(ADDRESS(20+(COLUMN()-2)/2,6,4,,"PSE"),1)</f>
        <v>774 °C</v>
      </c>
      <c r="D21" s="273">
        <f t="shared" ref="D21" ca="1" si="58">INDIRECT(ADDRESS(20+(COLUMN()-2)/2,5,4,,"PSE"),1)</f>
        <v>1</v>
      </c>
      <c r="E21" s="254" t="str">
        <f t="shared" ref="E21" ca="1" si="59">INDIRECT(ADDRESS(20+(COLUMN()-2)/2,6,4,,"PSE"),1)</f>
        <v>1.487 °C</v>
      </c>
      <c r="F21" s="273">
        <f t="shared" ref="F21" ca="1" si="60">INDIRECT(ADDRESS(20+(COLUMN()-2)/2,5,4,,"PSE"),1)</f>
        <v>1.3</v>
      </c>
      <c r="G21" s="254" t="str">
        <f t="shared" ref="G21" ca="1" si="61">INDIRECT(ADDRESS(20+(COLUMN()-2)/2,6,4,,"PSE"),1)</f>
        <v>2.730 °C</v>
      </c>
      <c r="H21" s="273">
        <f t="shared" ref="H21" ca="1" si="62">INDIRECT(ADDRESS(20+(COLUMN()-2)/2,5,4,,"PSE"),1)</f>
        <v>1.5</v>
      </c>
      <c r="I21" s="254" t="str">
        <f t="shared" ref="I21" ca="1" si="63">INDIRECT(ADDRESS(20+(COLUMN()-2)/2,6,4,,"PSE"),1)</f>
        <v>3.260 °C</v>
      </c>
      <c r="J21" s="273">
        <f t="shared" ref="J21" ca="1" si="64">INDIRECT(ADDRESS(20+(COLUMN()-2)/2,5,4,,"PSE"),1)</f>
        <v>1.6</v>
      </c>
      <c r="K21" s="254" t="str">
        <f t="shared" ref="K21" ca="1" si="65">INDIRECT(ADDRESS(20+(COLUMN()-2)/2,6,4,,"PSE"),1)</f>
        <v>3.407 °C</v>
      </c>
      <c r="L21" s="273">
        <f t="shared" ref="L21" ca="1" si="66">INDIRECT(ADDRESS(20+(COLUMN()-2)/2,5,4,,"PSE"),1)</f>
        <v>1.6</v>
      </c>
      <c r="M21" s="254" t="str">
        <f t="shared" ref="M21" ca="1" si="67">INDIRECT(ADDRESS(20+(COLUMN()-2)/2,6,4,,"PSE"),1)</f>
        <v>2.482 °C</v>
      </c>
      <c r="N21" s="273">
        <f t="shared" ref="N21" ca="1" si="68">INDIRECT(ADDRESS(20+(COLUMN()-2)/2,5,4,,"PSE"),1)</f>
        <v>1.5</v>
      </c>
      <c r="O21" s="254" t="str">
        <f t="shared" ref="O21" ca="1" si="69">INDIRECT(ADDRESS(20+(COLUMN()-2)/2,6,4,,"PSE"),1)</f>
        <v>2.100 °C</v>
      </c>
      <c r="P21" s="273">
        <f t="shared" ref="P21" ca="1" si="70">INDIRECT(ADDRESS(20+(COLUMN()-2)/2,5,4,,"PSE"),1)</f>
        <v>1.8</v>
      </c>
      <c r="Q21" s="254" t="str">
        <f t="shared" ref="Q21" ca="1" si="71">INDIRECT(ADDRESS(20+(COLUMN()-2)/2,6,4,,"PSE"),1)</f>
        <v>3.000 °C</v>
      </c>
      <c r="R21" s="273">
        <f t="shared" ref="R21" ca="1" si="72">INDIRECT(ADDRESS(20+(COLUMN()-2)/2,5,4,,"PSE"),1)</f>
        <v>1.8</v>
      </c>
      <c r="S21" s="254" t="str">
        <f t="shared" ref="S21" ca="1" si="73">INDIRECT(ADDRESS(20+(COLUMN()-2)/2,6,4,,"PSE"),1)</f>
        <v>2.900 °C</v>
      </c>
      <c r="T21" s="273">
        <f t="shared" ref="T21" ca="1" si="74">INDIRECT(ADDRESS(20+(COLUMN()-2)/2,5,4,,"PSE"),1)</f>
        <v>1.8</v>
      </c>
      <c r="U21" s="254" t="str">
        <f t="shared" ref="U21" ca="1" si="75">INDIRECT(ADDRESS(20+(COLUMN()-2)/2,6,4,,"PSE"),1)</f>
        <v>2.730 °C</v>
      </c>
      <c r="V21" s="273">
        <f t="shared" ref="V21" ca="1" si="76">INDIRECT(ADDRESS(20+(COLUMN()-2)/2,5,4,,"PSE"),1)</f>
        <v>1.9</v>
      </c>
      <c r="W21" s="254" t="str">
        <f t="shared" ref="W21" ca="1" si="77">INDIRECT(ADDRESS(20+(COLUMN()-2)/2,6,4,,"PSE"),1)</f>
        <v>2.595 °C</v>
      </c>
      <c r="X21" s="273">
        <f t="shared" ref="X21" ca="1" si="78">INDIRECT(ADDRESS(20+(COLUMN()-2)/2,5,4,,"PSE"),1)</f>
        <v>1.6</v>
      </c>
      <c r="Y21" s="254" t="str">
        <f t="shared" ref="Y21" ca="1" si="79">INDIRECT(ADDRESS(20+(COLUMN()-2)/2,6,4,,"PSE"),1)</f>
        <v>907 °C</v>
      </c>
      <c r="Z21" s="273">
        <f t="shared" ref="Z21" ca="1" si="80">INDIRECT(ADDRESS(20+(COLUMN()-2)/2,5,4,,"PSE"),1)</f>
        <v>1.6</v>
      </c>
      <c r="AA21" s="254" t="str">
        <f t="shared" ref="AA21" ca="1" si="81">INDIRECT(ADDRESS(20+(COLUMN()-2)/2,6,4,,"PSE"),1)</f>
        <v>2.400 °C</v>
      </c>
      <c r="AB21" s="259">
        <f t="shared" ref="AB21" ca="1" si="82">INDIRECT(ADDRESS(20+(COLUMN()-2)/2,5,4,,"PSE"),1)</f>
        <v>1.8</v>
      </c>
      <c r="AC21" s="260" t="str">
        <f t="shared" ref="AC21" ca="1" si="83">INDIRECT(ADDRESS(20+(COLUMN()-2)/2,6,4,,"PSE"),1)</f>
        <v>2.830 °C</v>
      </c>
      <c r="AD21" s="259">
        <f t="shared" ref="AD21" ca="1" si="84">INDIRECT(ADDRESS(20+(COLUMN()-2)/2,5,4,,"PSE"),1)</f>
        <v>2</v>
      </c>
      <c r="AE21" s="260" t="str">
        <f t="shared" ref="AE21" ca="1" si="85">INDIRECT(ADDRESS(20+(COLUMN()-2)/2,6,4,,"PSE"),1)</f>
        <v>613 °C</v>
      </c>
      <c r="AF21" s="259">
        <f t="shared" ref="AF21" ca="1" si="86">INDIRECT(ADDRESS(20+(COLUMN()-2)/2,5,4,,"PSE"),1)</f>
        <v>2.4</v>
      </c>
      <c r="AG21" s="260" t="str">
        <f t="shared" ref="AG21" ca="1" si="87">INDIRECT(ADDRESS(20+(COLUMN()-2)/2,6,4,,"PSE"),1)</f>
        <v>685 °C</v>
      </c>
      <c r="AH21" s="263">
        <f t="shared" ref="AH21" ca="1" si="88">INDIRECT(ADDRESS(20+(COLUMN()-2)/2,5,4,,"PSE"),1)</f>
        <v>2.9</v>
      </c>
      <c r="AI21" s="262" t="str">
        <f t="shared" ref="AI21" ca="1" si="89">INDIRECT(ADDRESS(20+(COLUMN()-2)/2,6,4,,"PSE"),1)</f>
        <v>59 °C</v>
      </c>
      <c r="AJ21" s="261">
        <f t="shared" ref="AJ21" ca="1" si="90">INDIRECT(ADDRESS(20+(COLUMN()-2)/2,5,4,,"PSE"),1)</f>
        <v>0</v>
      </c>
      <c r="AK21" s="262" t="str">
        <f t="shared" ref="AK21" ca="1" si="91">INDIRECT(ADDRESS(20+(COLUMN()-2)/2,6,4,,"PSE"),1)</f>
        <v>-152 °C</v>
      </c>
      <c r="AL21" s="264"/>
    </row>
    <row r="22" spans="1:38" s="12" customFormat="1" ht="11.45" customHeight="1">
      <c r="A22" s="159"/>
      <c r="B22" s="77" t="str">
        <f ca="1">INDIRECT(ADDRESS(20+(COLUMN()-2)/2,13,4,,"PSE"),1)</f>
        <v>220 pm</v>
      </c>
      <c r="C22" s="172" t="str">
        <f ca="1">INDIRECT(ADDRESS(20+(COLUMN()-2)/2,7,4,,"PSE"),1)</f>
        <v>63 °C</v>
      </c>
      <c r="D22" s="77" t="str">
        <f t="shared" ref="D22" ca="1" si="92">INDIRECT(ADDRESS(20+(COLUMN()-2)/2,13,4,,"PSE"),1)</f>
        <v>180 pm</v>
      </c>
      <c r="E22" s="172" t="str">
        <f t="shared" ref="E22" ca="1" si="93">INDIRECT(ADDRESS(20+(COLUMN()-2)/2,7,4,,"PSE"),1)</f>
        <v>842 °C</v>
      </c>
      <c r="F22" s="77" t="str">
        <f t="shared" ref="F22" ca="1" si="94">INDIRECT(ADDRESS(20+(COLUMN()-2)/2,13,4,,"PSE"),1)</f>
        <v>160 pm</v>
      </c>
      <c r="G22" s="172" t="str">
        <f t="shared" ref="G22" ca="1" si="95">INDIRECT(ADDRESS(20+(COLUMN()-2)/2,7,4,,"PSE"),1)</f>
        <v>1.541 °C</v>
      </c>
      <c r="H22" s="77" t="str">
        <f t="shared" ref="H22" ca="1" si="96">INDIRECT(ADDRESS(20+(COLUMN()-2)/2,13,4,,"PSE"),1)</f>
        <v>140 pm</v>
      </c>
      <c r="I22" s="172" t="str">
        <f t="shared" ref="I22" ca="1" si="97">INDIRECT(ADDRESS(20+(COLUMN()-2)/2,7,4,,"PSE"),1)</f>
        <v>1.668 °C</v>
      </c>
      <c r="J22" s="77" t="str">
        <f t="shared" ref="J22" ca="1" si="98">INDIRECT(ADDRESS(20+(COLUMN()-2)/2,13,4,,"PSE"),1)</f>
        <v>135 pm</v>
      </c>
      <c r="K22" s="172" t="str">
        <f t="shared" ref="K22" ca="1" si="99">INDIRECT(ADDRESS(20+(COLUMN()-2)/2,7,4,,"PSE"),1)</f>
        <v>1.910 °C</v>
      </c>
      <c r="L22" s="77" t="str">
        <f t="shared" ref="L22" ca="1" si="100">INDIRECT(ADDRESS(20+(COLUMN()-2)/2,13,4,,"PSE"),1)</f>
        <v>140 pm</v>
      </c>
      <c r="M22" s="172" t="str">
        <f t="shared" ref="M22" ca="1" si="101">INDIRECT(ADDRESS(20+(COLUMN()-2)/2,7,4,,"PSE"),1)</f>
        <v>1.907 °C</v>
      </c>
      <c r="N22" s="77" t="str">
        <f t="shared" ref="N22" ca="1" si="102">INDIRECT(ADDRESS(20+(COLUMN()-2)/2,13,4,,"PSE"),1)</f>
        <v>140 pm</v>
      </c>
      <c r="O22" s="172" t="str">
        <f t="shared" ref="O22" ca="1" si="103">INDIRECT(ADDRESS(20+(COLUMN()-2)/2,7,4,,"PSE"),1)</f>
        <v>1.246 °C</v>
      </c>
      <c r="P22" s="77" t="str">
        <f t="shared" ref="P22" ca="1" si="104">INDIRECT(ADDRESS(20+(COLUMN()-2)/2,13,4,,"PSE"),1)</f>
        <v>140 pm</v>
      </c>
      <c r="Q22" s="172" t="str">
        <f t="shared" ref="Q22" ca="1" si="105">INDIRECT(ADDRESS(20+(COLUMN()-2)/2,7,4,,"PSE"),1)</f>
        <v>1.538 °C</v>
      </c>
      <c r="R22" s="77" t="str">
        <f t="shared" ref="R22" ca="1" si="106">INDIRECT(ADDRESS(20+(COLUMN()-2)/2,13,4,,"PSE"),1)</f>
        <v>135 pm</v>
      </c>
      <c r="S22" s="172" t="str">
        <f t="shared" ref="S22" ca="1" si="107">INDIRECT(ADDRESS(20+(COLUMN()-2)/2,7,4,,"PSE"),1)</f>
        <v>1.495 °C</v>
      </c>
      <c r="T22" s="77" t="str">
        <f t="shared" ref="T22" ca="1" si="108">INDIRECT(ADDRESS(20+(COLUMN()-2)/2,13,4,,"PSE"),1)</f>
        <v>135 pm</v>
      </c>
      <c r="U22" s="172" t="str">
        <f t="shared" ref="U22" ca="1" si="109">INDIRECT(ADDRESS(20+(COLUMN()-2)/2,7,4,,"PSE"),1)</f>
        <v>1.455 °C</v>
      </c>
      <c r="V22" s="77" t="str">
        <f t="shared" ref="V22" ca="1" si="110">INDIRECT(ADDRESS(20+(COLUMN()-2)/2,13,4,,"PSE"),1)</f>
        <v>135 pm</v>
      </c>
      <c r="W22" s="172" t="str">
        <f t="shared" ref="W22" ca="1" si="111">INDIRECT(ADDRESS(20+(COLUMN()-2)/2,7,4,,"PSE"),1)</f>
        <v>1.085 °C</v>
      </c>
      <c r="X22" s="77" t="str">
        <f t="shared" ref="X22" ca="1" si="112">INDIRECT(ADDRESS(20+(COLUMN()-2)/2,13,4,,"PSE"),1)</f>
        <v>135 pm</v>
      </c>
      <c r="Y22" s="172" t="str">
        <f t="shared" ref="Y22" ca="1" si="113">INDIRECT(ADDRESS(20+(COLUMN()-2)/2,7,4,,"PSE"),1)</f>
        <v>420 °C</v>
      </c>
      <c r="Z22" s="77" t="str">
        <f t="shared" ref="Z22" ca="1" si="114">INDIRECT(ADDRESS(20+(COLUMN()-2)/2,13,4,,"PSE"),1)</f>
        <v>130 pm</v>
      </c>
      <c r="AA22" s="172" t="str">
        <f t="shared" ref="AA22" ca="1" si="115">INDIRECT(ADDRESS(20+(COLUMN()-2)/2,7,4,,"PSE"),1)</f>
        <v>30 °C</v>
      </c>
      <c r="AB22" s="73" t="str">
        <f t="shared" ref="AB22" ca="1" si="116">INDIRECT(ADDRESS(20+(COLUMN()-2)/2,13,4,,"PSE"),1)</f>
        <v>125 pm</v>
      </c>
      <c r="AC22" s="174" t="str">
        <f t="shared" ref="AC22" ca="1" si="117">INDIRECT(ADDRESS(20+(COLUMN()-2)/2,7,4,,"PSE"),1)</f>
        <v>938 °C</v>
      </c>
      <c r="AD22" s="73" t="str">
        <f t="shared" ref="AD22" ca="1" si="118">INDIRECT(ADDRESS(20+(COLUMN()-2)/2,13,4,,"PSE"),1)</f>
        <v>115 pm</v>
      </c>
      <c r="AE22" s="174" t="str">
        <f t="shared" ref="AE22" ca="1" si="119">INDIRECT(ADDRESS(20+(COLUMN()-2)/2,7,4,,"PSE"),1)</f>
        <v>613 °C</v>
      </c>
      <c r="AF22" s="73" t="str">
        <f t="shared" ref="AF22" ca="1" si="120">INDIRECT(ADDRESS(20+(COLUMN()-2)/2,13,4,,"PSE"),1)</f>
        <v>115 pm</v>
      </c>
      <c r="AG22" s="174" t="str">
        <f t="shared" ref="AG22" ca="1" si="121">INDIRECT(ADDRESS(20+(COLUMN()-2)/2,7,4,,"PSE"),1)</f>
        <v>221 °C</v>
      </c>
      <c r="AH22" s="121" t="str">
        <f t="shared" ref="AH22" ca="1" si="122">INDIRECT(ADDRESS(20+(COLUMN()-2)/2,13,4,,"PSE"),1)</f>
        <v>115 pm</v>
      </c>
      <c r="AI22" s="175" t="str">
        <f t="shared" ref="AI22" ca="1" si="123">INDIRECT(ADDRESS(20+(COLUMN()-2)/2,7,4,,"PSE"),1)</f>
        <v>-7 °C</v>
      </c>
      <c r="AJ22" s="119" t="str">
        <f t="shared" ref="AJ22" ca="1" si="124">INDIRECT(ADDRESS(20+(COLUMN()-2)/2,13,4,,"PSE"),1)</f>
        <v>116 pm</v>
      </c>
      <c r="AK22" s="175" t="str">
        <f t="shared" ref="AK22" ca="1" si="125">INDIRECT(ADDRESS(20+(COLUMN()-2)/2,7,4,,"PSE"),1)</f>
        <v>-157 °C</v>
      </c>
      <c r="AL22" s="110"/>
    </row>
    <row r="23" spans="1:38" s="12" customFormat="1" ht="18" customHeight="1">
      <c r="A23" s="159"/>
      <c r="B23" s="146">
        <f ca="1">INDIRECT(ADDRESS(38+(COLUMN()-2)/2,1,4,,"PSE"),1)</f>
        <v>37</v>
      </c>
      <c r="C23" s="65">
        <f ca="1">INDIRECT(ADDRESS(38+(COLUMN()-2)/2,4,4,,"PSE"),1)</f>
        <v>85.468000000000004</v>
      </c>
      <c r="D23" s="146">
        <f ca="1">INDIRECT(ADDRESS(38+(COLUMN()-2)/2,1,4,,"PSE"),1)</f>
        <v>38</v>
      </c>
      <c r="E23" s="65">
        <f ca="1">INDIRECT(ADDRESS(38+(COLUMN()-2)/2,4,4,,"PSE"),1)</f>
        <v>87.62</v>
      </c>
      <c r="F23" s="146">
        <f t="shared" ref="F23" ca="1" si="126">INDIRECT(ADDRESS(38+(COLUMN()-2)/2,1,4,,"PSE"),1)</f>
        <v>39</v>
      </c>
      <c r="G23" s="65">
        <f t="shared" ref="G23" ca="1" si="127">INDIRECT(ADDRESS(38+(COLUMN()-2)/2,4,4,,"PSE"),1)</f>
        <v>88.906000000000006</v>
      </c>
      <c r="H23" s="146">
        <f t="shared" ref="H23" ca="1" si="128">INDIRECT(ADDRESS(38+(COLUMN()-2)/2,1,4,,"PSE"),1)</f>
        <v>40</v>
      </c>
      <c r="I23" s="65">
        <f t="shared" ref="I23" ca="1" si="129">INDIRECT(ADDRESS(38+(COLUMN()-2)/2,4,4,,"PSE"),1)</f>
        <v>91.224000000000004</v>
      </c>
      <c r="J23" s="93">
        <f t="shared" ref="J23" ca="1" si="130">INDIRECT(ADDRESS(38+(COLUMN()-2)/2,1,4,,"PSE"),1)</f>
        <v>41</v>
      </c>
      <c r="K23" s="65">
        <f t="shared" ref="K23" ca="1" si="131">INDIRECT(ADDRESS(38+(COLUMN()-2)/2,4,4,,"PSE"),1)</f>
        <v>92.906000000000006</v>
      </c>
      <c r="L23" s="146">
        <f t="shared" ref="L23" ca="1" si="132">INDIRECT(ADDRESS(38+(COLUMN()-2)/2,1,4,,"PSE"),1)</f>
        <v>42</v>
      </c>
      <c r="M23" s="65">
        <f t="shared" ref="M23" ca="1" si="133">INDIRECT(ADDRESS(38+(COLUMN()-2)/2,4,4,,"PSE"),1)</f>
        <v>95.95</v>
      </c>
      <c r="N23" s="146">
        <f t="shared" ref="N23" ca="1" si="134">INDIRECT(ADDRESS(38+(COLUMN()-2)/2,1,4,,"PSE"),1)</f>
        <v>43</v>
      </c>
      <c r="O23" s="70">
        <f t="shared" ref="O23" ca="1" si="135">INDIRECT(ADDRESS(38+(COLUMN()-2)/2,4,4,,"PSE"),1)</f>
        <v>97</v>
      </c>
      <c r="P23" s="146">
        <f t="shared" ref="P23" ca="1" si="136">INDIRECT(ADDRESS(38+(COLUMN()-2)/2,1,4,,"PSE"),1)</f>
        <v>44</v>
      </c>
      <c r="Q23" s="155">
        <f t="shared" ref="Q23" ca="1" si="137">INDIRECT(ADDRESS(38+(COLUMN()-2)/2,4,4,,"PSE"),1)</f>
        <v>101.07</v>
      </c>
      <c r="R23" s="146">
        <f t="shared" ref="R23" ca="1" si="138">INDIRECT(ADDRESS(38+(COLUMN()-2)/2,1,4,,"PSE"),1)</f>
        <v>45</v>
      </c>
      <c r="S23" s="155">
        <f t="shared" ref="S23" ca="1" si="139">INDIRECT(ADDRESS(38+(COLUMN()-2)/2,4,4,,"PSE"),1)</f>
        <v>102.91</v>
      </c>
      <c r="T23" s="146">
        <f t="shared" ref="T23" ca="1" si="140">INDIRECT(ADDRESS(38+(COLUMN()-2)/2,1,4,,"PSE"),1)</f>
        <v>46</v>
      </c>
      <c r="U23" s="155">
        <f t="shared" ref="U23" ca="1" si="141">INDIRECT(ADDRESS(38+(COLUMN()-2)/2,4,4,,"PSE"),1)</f>
        <v>106.42</v>
      </c>
      <c r="V23" s="146">
        <f t="shared" ref="V23" ca="1" si="142">INDIRECT(ADDRESS(38+(COLUMN()-2)/2,1,4,,"PSE"),1)</f>
        <v>47</v>
      </c>
      <c r="W23" s="155">
        <f t="shared" ref="W23" ca="1" si="143">INDIRECT(ADDRESS(38+(COLUMN()-2)/2,4,4,,"PSE"),1)</f>
        <v>107.87</v>
      </c>
      <c r="X23" s="146">
        <f t="shared" ref="X23" ca="1" si="144">INDIRECT(ADDRESS(38+(COLUMN()-2)/2,1,4,,"PSE"),1)</f>
        <v>48</v>
      </c>
      <c r="Y23" s="155">
        <f t="shared" ref="Y23" ca="1" si="145">INDIRECT(ADDRESS(38+(COLUMN()-2)/2,4,4,,"PSE"),1)</f>
        <v>112.41</v>
      </c>
      <c r="Z23" s="146">
        <f t="shared" ref="Z23" ca="1" si="146">INDIRECT(ADDRESS(38+(COLUMN()-2)/2,1,4,,"PSE"),1)</f>
        <v>49</v>
      </c>
      <c r="AA23" s="155">
        <f t="shared" ref="AA23" ca="1" si="147">INDIRECT(ADDRESS(38+(COLUMN()-2)/2,4,4,,"PSE"),1)</f>
        <v>114.82</v>
      </c>
      <c r="AB23" s="146">
        <f t="shared" ref="AB23" ca="1" si="148">INDIRECT(ADDRESS(38+(COLUMN()-2)/2,1,4,,"PSE"),1)</f>
        <v>50</v>
      </c>
      <c r="AC23" s="155">
        <f t="shared" ref="AC23" ca="1" si="149">INDIRECT(ADDRESS(38+(COLUMN()-2)/2,4,4,,"PSE"),1)</f>
        <v>118.71</v>
      </c>
      <c r="AD23" s="148">
        <f t="shared" ref="AD23" ca="1" si="150">INDIRECT(ADDRESS(38+(COLUMN()-2)/2,1,4,,"PSE"),1)</f>
        <v>51</v>
      </c>
      <c r="AE23" s="129">
        <f t="shared" ref="AE23" ca="1" si="151">INDIRECT(ADDRESS(38+(COLUMN()-2)/2,4,4,,"PSE"),1)</f>
        <v>121.76</v>
      </c>
      <c r="AF23" s="148">
        <f t="shared" ref="AF23" ca="1" si="152">INDIRECT(ADDRESS(38+(COLUMN()-2)/2,1,4,,"PSE"),1)</f>
        <v>52</v>
      </c>
      <c r="AG23" s="129">
        <f t="shared" ref="AG23" ca="1" si="153">INDIRECT(ADDRESS(38+(COLUMN()-2)/2,4,4,,"PSE"),1)</f>
        <v>127.6</v>
      </c>
      <c r="AH23" s="147">
        <f t="shared" ref="AH23" ca="1" si="154">INDIRECT(ADDRESS(38+(COLUMN()-2)/2,1,4,,"PSE"),1)</f>
        <v>53</v>
      </c>
      <c r="AI23" s="123">
        <f t="shared" ref="AI23" ca="1" si="155">INDIRECT(ADDRESS(38+(COLUMN()-2)/2,4,4,,"PSE"),1)</f>
        <v>126.9</v>
      </c>
      <c r="AJ23" s="147">
        <f t="shared" ref="AJ23" ca="1" si="156">INDIRECT(ADDRESS(38+(COLUMN()-2)/2,1,4,,"PSE"),1)</f>
        <v>54</v>
      </c>
      <c r="AK23" s="123">
        <f t="shared" ref="AK23" ca="1" si="157">INDIRECT(ADDRESS(38+(COLUMN()-2)/2,4,4,,"PSE"),1)</f>
        <v>131.29</v>
      </c>
      <c r="AL23" s="111"/>
    </row>
    <row r="24" spans="1:38" s="12" customFormat="1" ht="30" customHeight="1">
      <c r="A24" s="164" t="s">
        <v>548</v>
      </c>
      <c r="B24" s="95" t="str">
        <f ca="1">INDIRECT(ADDRESS(38+(COLUMN()-2)/2,8,4,,"PSE"),1)</f>
        <v>1,53 g/cm³</v>
      </c>
      <c r="C24" s="13" t="str">
        <f ca="1">INDIRECT(ADDRESS(38+(COLUMN()-2)/2,2,4,,"PSE"),1)</f>
        <v>Rb</v>
      </c>
      <c r="D24" s="95" t="str">
        <f ca="1">INDIRECT(ADDRESS(38+(COLUMN()-2)/2,8,4,,"PSE"),1)</f>
        <v>2,63 g/cm³</v>
      </c>
      <c r="E24" s="13" t="str">
        <f ca="1">INDIRECT(ADDRESS(38+(COLUMN()-2)/2,2,4,,"PSE"),1)</f>
        <v>Sr</v>
      </c>
      <c r="F24" s="95" t="str">
        <f t="shared" ref="F24" ca="1" si="158">INDIRECT(ADDRESS(38+(COLUMN()-2)/2,8,4,,"PSE"),1)</f>
        <v>4,47 g/cm³</v>
      </c>
      <c r="G24" s="13" t="str">
        <f t="shared" ref="G24" ca="1" si="159">INDIRECT(ADDRESS(38+(COLUMN()-2)/2,2,4,,"PSE"),1)</f>
        <v>Y</v>
      </c>
      <c r="H24" s="95" t="str">
        <f t="shared" ref="H24" ca="1" si="160">INDIRECT(ADDRESS(38+(COLUMN()-2)/2,8,4,,"PSE"),1)</f>
        <v>6,5 g/cm³</v>
      </c>
      <c r="I24" s="13" t="str">
        <f t="shared" ref="I24" ca="1" si="161">INDIRECT(ADDRESS(38+(COLUMN()-2)/2,2,4,,"PSE"),1)</f>
        <v>Zr</v>
      </c>
      <c r="J24" s="95" t="str">
        <f t="shared" ref="J24" ca="1" si="162">INDIRECT(ADDRESS(38+(COLUMN()-2)/2,8,4,,"PSE"),1)</f>
        <v>8,57 g/cm³</v>
      </c>
      <c r="K24" s="13" t="str">
        <f t="shared" ref="K24" ca="1" si="163">INDIRECT(ADDRESS(38+(COLUMN()-2)/2,2,4,,"PSE"),1)</f>
        <v>Nb</v>
      </c>
      <c r="L24" s="95" t="str">
        <f t="shared" ref="L24" ca="1" si="164">INDIRECT(ADDRESS(38+(COLUMN()-2)/2,8,4,,"PSE"),1)</f>
        <v>10,28 g/cm³</v>
      </c>
      <c r="M24" s="13" t="str">
        <f t="shared" ref="M24" ca="1" si="165">INDIRECT(ADDRESS(38+(COLUMN()-2)/2,2,4,,"PSE"),1)</f>
        <v>Mo</v>
      </c>
      <c r="N24" s="95" t="str">
        <f t="shared" ref="N24" ca="1" si="166">INDIRECT(ADDRESS(38+(COLUMN()-2)/2,8,4,,"PSE"),1)</f>
        <v>11,5 g/cm³</v>
      </c>
      <c r="O24" s="13" t="str">
        <f t="shared" ref="O24" ca="1" si="167">INDIRECT(ADDRESS(38+(COLUMN()-2)/2,2,4,,"PSE"),1)</f>
        <v>Tc</v>
      </c>
      <c r="P24" s="95" t="str">
        <f t="shared" ref="P24" ca="1" si="168">INDIRECT(ADDRESS(38+(COLUMN()-2)/2,8,4,,"PSE"),1)</f>
        <v>12,37 g/cm³</v>
      </c>
      <c r="Q24" s="13" t="str">
        <f t="shared" ref="Q24" ca="1" si="169">INDIRECT(ADDRESS(38+(COLUMN()-2)/2,2,4,,"PSE"),1)</f>
        <v>Ru</v>
      </c>
      <c r="R24" s="95" t="str">
        <f t="shared" ref="R24" ca="1" si="170">INDIRECT(ADDRESS(38+(COLUMN()-2)/2,8,4,,"PSE"),1)</f>
        <v>12,38 g/cm³</v>
      </c>
      <c r="S24" s="13" t="str">
        <f t="shared" ref="S24" ca="1" si="171">INDIRECT(ADDRESS(38+(COLUMN()-2)/2,2,4,,"PSE"),1)</f>
        <v>Rh</v>
      </c>
      <c r="T24" s="95" t="str">
        <f t="shared" ref="T24" ca="1" si="172">INDIRECT(ADDRESS(38+(COLUMN()-2)/2,8,4,,"PSE"),1)</f>
        <v>11,99 g/cm³</v>
      </c>
      <c r="U24" s="13" t="str">
        <f t="shared" ref="U24" ca="1" si="173">INDIRECT(ADDRESS(38+(COLUMN()-2)/2,2,4,,"PSE"),1)</f>
        <v>Pd</v>
      </c>
      <c r="V24" s="95" t="str">
        <f t="shared" ref="V24" ca="1" si="174">INDIRECT(ADDRESS(38+(COLUMN()-2)/2,8,4,,"PSE"),1)</f>
        <v>10,49 g/cm³</v>
      </c>
      <c r="W24" s="13" t="str">
        <f t="shared" ref="W24" ca="1" si="175">INDIRECT(ADDRESS(38+(COLUMN()-2)/2,2,4,,"PSE"),1)</f>
        <v>Ag</v>
      </c>
      <c r="X24" s="95" t="str">
        <f t="shared" ref="X24" ca="1" si="176">INDIRECT(ADDRESS(38+(COLUMN()-2)/2,8,4,,"PSE"),1)</f>
        <v>8,65 g/cm³</v>
      </c>
      <c r="Y24" s="13" t="str">
        <f t="shared" ref="Y24" ca="1" si="177">INDIRECT(ADDRESS(38+(COLUMN()-2)/2,2,4,,"PSE"),1)</f>
        <v>Cd</v>
      </c>
      <c r="Z24" s="95" t="str">
        <f t="shared" ref="Z24" ca="1" si="178">INDIRECT(ADDRESS(38+(COLUMN()-2)/2,8,4,,"PSE"),1)</f>
        <v>7,31 g/cm³</v>
      </c>
      <c r="AA24" s="13" t="str">
        <f t="shared" ref="AA24" ca="1" si="179">INDIRECT(ADDRESS(38+(COLUMN()-2)/2,2,4,,"PSE"),1)</f>
        <v>In</v>
      </c>
      <c r="AB24" s="95" t="str">
        <f t="shared" ref="AB24" ca="1" si="180">INDIRECT(ADDRESS(38+(COLUMN()-2)/2,8,4,,"PSE"),1)</f>
        <v>7,31 g/cm³</v>
      </c>
      <c r="AC24" s="13" t="str">
        <f t="shared" ref="AC24" ca="1" si="181">INDIRECT(ADDRESS(38+(COLUMN()-2)/2,2,4,,"PSE"),1)</f>
        <v>Sn</v>
      </c>
      <c r="AD24" s="96" t="str">
        <f t="shared" ref="AD24" ca="1" si="182">INDIRECT(ADDRESS(38+(COLUMN()-2)/2,8,4,,"PSE"),1)</f>
        <v>6,7 g/cm³</v>
      </c>
      <c r="AE24" s="37" t="str">
        <f t="shared" ref="AE24" ca="1" si="183">INDIRECT(ADDRESS(38+(COLUMN()-2)/2,2,4,,"PSE"),1)</f>
        <v>Sb</v>
      </c>
      <c r="AF24" s="96" t="str">
        <f t="shared" ref="AF24" ca="1" si="184">INDIRECT(ADDRESS(38+(COLUMN()-2)/2,8,4,,"PSE"),1)</f>
        <v>6,24 g/cm³</v>
      </c>
      <c r="AG24" s="37" t="str">
        <f t="shared" ref="AG24" ca="1" si="185">INDIRECT(ADDRESS(38+(COLUMN()-2)/2,2,4,,"PSE"),1)</f>
        <v>Te</v>
      </c>
      <c r="AH24" s="118" t="str">
        <f t="shared" ref="AH24" ca="1" si="186">INDIRECT(ADDRESS(38+(COLUMN()-2)/2,8,4,,"PSE"),1)</f>
        <v>4,94 g/cm³</v>
      </c>
      <c r="AI24" s="125" t="str">
        <f t="shared" ref="AI24" ca="1" si="187">INDIRECT(ADDRESS(38+(COLUMN()-2)/2,2,4,,"PSE"),1)</f>
        <v>I</v>
      </c>
      <c r="AJ24" s="118" t="str">
        <f t="shared" ref="AJ24" ca="1" si="188">INDIRECT(ADDRESS(38+(COLUMN()-2)/2,8,4,,"PSE"),1)</f>
        <v>5,5 g/L</v>
      </c>
      <c r="AK24" s="127" t="str">
        <f t="shared" ref="AK24" ca="1" si="189">INDIRECT(ADDRESS(38+(COLUMN()-2)/2,2,4,,"PSE"),1)</f>
        <v>Xe</v>
      </c>
      <c r="AL24" s="102"/>
    </row>
    <row r="25" spans="1:38" s="12" customFormat="1" ht="13.9" customHeight="1">
      <c r="A25" s="159"/>
      <c r="B25" s="192" t="str">
        <f ca="1">INDIRECT(ADDRESS(38+(COLUMN()-2)/2,3,4,,"PSE"),1)</f>
        <v>Rubidium</v>
      </c>
      <c r="C25" s="193"/>
      <c r="D25" s="192" t="str">
        <f ca="1">INDIRECT(ADDRESS(38+(COLUMN()-2)/2,3,4,,"PSE"),1)</f>
        <v>Strontium</v>
      </c>
      <c r="E25" s="193"/>
      <c r="F25" s="192" t="str">
        <f t="shared" ref="F25" ca="1" si="190">INDIRECT(ADDRESS(38+(COLUMN()-2)/2,3,4,,"PSE"),1)</f>
        <v>Yttrium</v>
      </c>
      <c r="G25" s="193"/>
      <c r="H25" s="192" t="str">
        <f t="shared" ref="H25" ca="1" si="191">INDIRECT(ADDRESS(38+(COLUMN()-2)/2,3,4,,"PSE"),1)</f>
        <v>Zirconium</v>
      </c>
      <c r="I25" s="193"/>
      <c r="J25" s="192" t="str">
        <f t="shared" ref="J25" ca="1" si="192">INDIRECT(ADDRESS(38+(COLUMN()-2)/2,3,4,,"PSE"),1)</f>
        <v>Niob</v>
      </c>
      <c r="K25" s="193"/>
      <c r="L25" s="192" t="str">
        <f t="shared" ref="L25" ca="1" si="193">INDIRECT(ADDRESS(38+(COLUMN()-2)/2,3,4,,"PSE"),1)</f>
        <v>Molybdän</v>
      </c>
      <c r="M25" s="193"/>
      <c r="N25" s="192" t="str">
        <f t="shared" ref="N25" ca="1" si="194">INDIRECT(ADDRESS(38+(COLUMN()-2)/2,3,4,,"PSE"),1)</f>
        <v>Technetium</v>
      </c>
      <c r="O25" s="193"/>
      <c r="P25" s="192" t="str">
        <f t="shared" ref="P25" ca="1" si="195">INDIRECT(ADDRESS(38+(COLUMN()-2)/2,3,4,,"PSE"),1)</f>
        <v>Ruthenium</v>
      </c>
      <c r="Q25" s="193"/>
      <c r="R25" s="192" t="str">
        <f t="shared" ref="R25" ca="1" si="196">INDIRECT(ADDRESS(38+(COLUMN()-2)/2,3,4,,"PSE"),1)</f>
        <v>Rhodium</v>
      </c>
      <c r="S25" s="193"/>
      <c r="T25" s="192" t="str">
        <f t="shared" ref="T25" ca="1" si="197">INDIRECT(ADDRESS(38+(COLUMN()-2)/2,3,4,,"PSE"),1)</f>
        <v>Palladium</v>
      </c>
      <c r="U25" s="193"/>
      <c r="V25" s="192" t="str">
        <f t="shared" ref="V25" ca="1" si="198">INDIRECT(ADDRESS(38+(COLUMN()-2)/2,3,4,,"PSE"),1)</f>
        <v>Silber</v>
      </c>
      <c r="W25" s="193"/>
      <c r="X25" s="192" t="str">
        <f t="shared" ref="X25" ca="1" si="199">INDIRECT(ADDRESS(38+(COLUMN()-2)/2,3,4,,"PSE"),1)</f>
        <v>Cadmium</v>
      </c>
      <c r="Y25" s="193"/>
      <c r="Z25" s="192" t="str">
        <f t="shared" ref="Z25" ca="1" si="200">INDIRECT(ADDRESS(38+(COLUMN()-2)/2,3,4,,"PSE"),1)</f>
        <v>Indium</v>
      </c>
      <c r="AA25" s="193"/>
      <c r="AB25" s="192" t="str">
        <f t="shared" ref="AB25" ca="1" si="201">INDIRECT(ADDRESS(38+(COLUMN()-2)/2,3,4,,"PSE"),1)</f>
        <v>Zinn</v>
      </c>
      <c r="AC25" s="193"/>
      <c r="AD25" s="204" t="str">
        <f t="shared" ref="AD25" ca="1" si="202">INDIRECT(ADDRESS(38+(COLUMN()-2)/2,3,4,,"PSE"),1)</f>
        <v>Antimon</v>
      </c>
      <c r="AE25" s="205"/>
      <c r="AF25" s="204" t="str">
        <f t="shared" ref="AF25" ca="1" si="203">INDIRECT(ADDRESS(38+(COLUMN()-2)/2,3,4,,"PSE"),1)</f>
        <v>Tellur</v>
      </c>
      <c r="AG25" s="205"/>
      <c r="AH25" s="202" t="str">
        <f t="shared" ref="AH25" ca="1" si="204">INDIRECT(ADDRESS(38+(COLUMN()-2)/2,3,4,,"PSE"),1)</f>
        <v>Iod</v>
      </c>
      <c r="AI25" s="203"/>
      <c r="AJ25" s="202" t="str">
        <f t="shared" ref="AJ25" ca="1" si="205">INDIRECT(ADDRESS(38+(COLUMN()-2)/2,3,4,,"PSE"),1)</f>
        <v>Xenon</v>
      </c>
      <c r="AK25" s="203"/>
      <c r="AL25" s="103"/>
    </row>
    <row r="26" spans="1:38" s="12" customFormat="1" ht="15" customHeight="1">
      <c r="A26" s="159"/>
      <c r="B26" s="273">
        <f ca="1">INDIRECT(ADDRESS(38+(COLUMN()-2)/2,5,4,,"PSE"),1)</f>
        <v>0.8</v>
      </c>
      <c r="C26" s="254" t="str">
        <f ca="1">INDIRECT(ADDRESS(38+(COLUMN()-2)/2,6,4,,"PSE"),1)</f>
        <v>688 °C</v>
      </c>
      <c r="D26" s="251">
        <f ca="1">INDIRECT(ADDRESS(38+(COLUMN()-2)/2,5,4,,"PSE"),1)</f>
        <v>1</v>
      </c>
      <c r="E26" s="254" t="str">
        <f ca="1">INDIRECT(ADDRESS(38+(COLUMN()-2)/2,6,4,,"PSE"),1)</f>
        <v>1.380 °C</v>
      </c>
      <c r="F26" s="251">
        <f t="shared" ref="F26" ca="1" si="206">INDIRECT(ADDRESS(38+(COLUMN()-2)/2,5,4,,"PSE"),1)</f>
        <v>1.2</v>
      </c>
      <c r="G26" s="254" t="str">
        <f t="shared" ref="G26" ca="1" si="207">INDIRECT(ADDRESS(38+(COLUMN()-2)/2,6,4,,"PSE"),1)</f>
        <v>2.930 °C</v>
      </c>
      <c r="H26" s="251">
        <f t="shared" ref="H26" ca="1" si="208">INDIRECT(ADDRESS(38+(COLUMN()-2)/2,5,4,,"PSE"),1)</f>
        <v>1.4</v>
      </c>
      <c r="I26" s="254" t="str">
        <f t="shared" ref="I26" ca="1" si="209">INDIRECT(ADDRESS(38+(COLUMN()-2)/2,6,4,,"PSE"),1)</f>
        <v>4.377 °C</v>
      </c>
      <c r="J26" s="251">
        <f t="shared" ref="J26" ca="1" si="210">INDIRECT(ADDRESS(38+(COLUMN()-2)/2,5,4,,"PSE"),1)</f>
        <v>1.6</v>
      </c>
      <c r="K26" s="254" t="str">
        <f t="shared" ref="K26" ca="1" si="211">INDIRECT(ADDRESS(38+(COLUMN()-2)/2,6,4,,"PSE"),1)</f>
        <v>4.744 °C</v>
      </c>
      <c r="L26" s="251">
        <f t="shared" ref="L26" ca="1" si="212">INDIRECT(ADDRESS(38+(COLUMN()-2)/2,5,4,,"PSE"),1)</f>
        <v>1.8</v>
      </c>
      <c r="M26" s="254" t="str">
        <f t="shared" ref="M26" ca="1" si="213">INDIRECT(ADDRESS(38+(COLUMN()-2)/2,6,4,,"PSE"),1)</f>
        <v>4.612 °C</v>
      </c>
      <c r="N26" s="251">
        <f t="shared" ref="N26" ca="1" si="214">INDIRECT(ADDRESS(38+(COLUMN()-2)/2,5,4,,"PSE"),1)</f>
        <v>1.9</v>
      </c>
      <c r="O26" s="254" t="str">
        <f t="shared" ref="O26" ca="1" si="215">INDIRECT(ADDRESS(38+(COLUMN()-2)/2,6,4,,"PSE"),1)</f>
        <v>4.265 °C</v>
      </c>
      <c r="P26" s="251">
        <f t="shared" ref="P26" ca="1" si="216">INDIRECT(ADDRESS(38+(COLUMN()-2)/2,5,4,,"PSE"),1)</f>
        <v>2.2000000000000002</v>
      </c>
      <c r="Q26" s="254" t="str">
        <f t="shared" ref="Q26" ca="1" si="217">INDIRECT(ADDRESS(38+(COLUMN()-2)/2,6,4,,"PSE"),1)</f>
        <v>4.150 °C</v>
      </c>
      <c r="R26" s="251">
        <f t="shared" ref="R26" ca="1" si="218">INDIRECT(ADDRESS(38+(COLUMN()-2)/2,5,4,,"PSE"),1)</f>
        <v>2.2000000000000002</v>
      </c>
      <c r="S26" s="254" t="str">
        <f t="shared" ref="S26" ca="1" si="219">INDIRECT(ADDRESS(38+(COLUMN()-2)/2,6,4,,"PSE"),1)</f>
        <v>3.727 °C</v>
      </c>
      <c r="T26" s="251">
        <f t="shared" ref="T26" ca="1" si="220">INDIRECT(ADDRESS(38+(COLUMN()-2)/2,5,4,,"PSE"),1)</f>
        <v>2.2000000000000002</v>
      </c>
      <c r="U26" s="254" t="str">
        <f t="shared" ref="U26" ca="1" si="221">INDIRECT(ADDRESS(38+(COLUMN()-2)/2,6,4,,"PSE"),1)</f>
        <v>2.960 °C</v>
      </c>
      <c r="V26" s="251">
        <f t="shared" ref="V26" ca="1" si="222">INDIRECT(ADDRESS(38+(COLUMN()-2)/2,5,4,,"PSE"),1)</f>
        <v>1.9</v>
      </c>
      <c r="W26" s="254" t="str">
        <f t="shared" ref="W26" ca="1" si="223">INDIRECT(ADDRESS(38+(COLUMN()-2)/2,6,4,,"PSE"),1)</f>
        <v>2.210 °C</v>
      </c>
      <c r="X26" s="251">
        <f t="shared" ref="X26" ca="1" si="224">INDIRECT(ADDRESS(38+(COLUMN()-2)/2,5,4,,"PSE"),1)</f>
        <v>1.7</v>
      </c>
      <c r="Y26" s="254" t="str">
        <f t="shared" ref="Y26" ca="1" si="225">INDIRECT(ADDRESS(38+(COLUMN()-2)/2,6,4,,"PSE"),1)</f>
        <v>765 °C</v>
      </c>
      <c r="Z26" s="251">
        <f t="shared" ref="Z26" ca="1" si="226">INDIRECT(ADDRESS(38+(COLUMN()-2)/2,5,4,,"PSE"),1)</f>
        <v>1.7</v>
      </c>
      <c r="AA26" s="254" t="str">
        <f t="shared" ref="AA26" ca="1" si="227">INDIRECT(ADDRESS(38+(COLUMN()-2)/2,6,4,,"PSE"),1)</f>
        <v>2.000 °C</v>
      </c>
      <c r="AB26" s="251">
        <f t="shared" ref="AB26" ca="1" si="228">INDIRECT(ADDRESS(38+(COLUMN()-2)/2,5,4,,"PSE"),1)</f>
        <v>1.8</v>
      </c>
      <c r="AC26" s="254" t="str">
        <f t="shared" ref="AC26" ca="1" si="229">INDIRECT(ADDRESS(38+(COLUMN()-2)/2,6,4,,"PSE"),1)</f>
        <v>2.620 °C</v>
      </c>
      <c r="AD26" s="259">
        <f t="shared" ref="AD26" ca="1" si="230">INDIRECT(ADDRESS(38+(COLUMN()-2)/2,5,4,,"PSE"),1)</f>
        <v>1.9</v>
      </c>
      <c r="AE26" s="260" t="str">
        <f t="shared" ref="AE26" ca="1" si="231">INDIRECT(ADDRESS(38+(COLUMN()-2)/2,6,4,,"PSE"),1)</f>
        <v>1.635 °C</v>
      </c>
      <c r="AF26" s="259">
        <f t="shared" ref="AF26" ca="1" si="232">INDIRECT(ADDRESS(38+(COLUMN()-2)/2,5,4,,"PSE"),1)</f>
        <v>2.1</v>
      </c>
      <c r="AG26" s="260" t="str">
        <f t="shared" ref="AG26" ca="1" si="233">INDIRECT(ADDRESS(38+(COLUMN()-2)/2,6,4,,"PSE"),1)</f>
        <v>990 °C</v>
      </c>
      <c r="AH26" s="263">
        <f t="shared" ref="AH26" ca="1" si="234">INDIRECT(ADDRESS(38+(COLUMN()-2)/2,5,4,,"PSE"),1)</f>
        <v>2.5</v>
      </c>
      <c r="AI26" s="262" t="str">
        <f t="shared" ref="AI26" ca="1" si="235">INDIRECT(ADDRESS(38+(COLUMN()-2)/2,6,4,,"PSE"),1)</f>
        <v>184 °C</v>
      </c>
      <c r="AJ26" s="261">
        <f t="shared" ref="AJ26" ca="1" si="236">INDIRECT(ADDRESS(38+(COLUMN()-2)/2,5,4,,"PSE"),1)</f>
        <v>0</v>
      </c>
      <c r="AK26" s="262" t="str">
        <f t="shared" ref="AK26" ca="1" si="237">INDIRECT(ADDRESS(38+(COLUMN()-2)/2,6,4,,"PSE"),1)</f>
        <v>-108 °C</v>
      </c>
      <c r="AL26" s="264"/>
    </row>
    <row r="27" spans="1:38" s="12" customFormat="1" ht="11.45" customHeight="1">
      <c r="A27" s="159"/>
      <c r="B27" s="77" t="str">
        <f ca="1">INDIRECT(ADDRESS(38+(COLUMN()-2)/2,13,4,,"PSE"),1)</f>
        <v>235 pm</v>
      </c>
      <c r="C27" s="172" t="str">
        <f ca="1">INDIRECT(ADDRESS(38+(COLUMN()-2)/2,7,4,,"PSE"),1)</f>
        <v>39 °C</v>
      </c>
      <c r="D27" s="74" t="str">
        <f ca="1">INDIRECT(ADDRESS(38+(COLUMN()-2)/2,13,4,,"PSE"),1)</f>
        <v>200 pm</v>
      </c>
      <c r="E27" s="172" t="str">
        <f ca="1">INDIRECT(ADDRESS(38+(COLUMN()-2)/2,7,4,,"PSE"),1)</f>
        <v>777 °C</v>
      </c>
      <c r="F27" s="74" t="str">
        <f t="shared" ref="F27" ca="1" si="238">INDIRECT(ADDRESS(38+(COLUMN()-2)/2,13,4,,"PSE"),1)</f>
        <v>180 pm</v>
      </c>
      <c r="G27" s="172" t="str">
        <f t="shared" ref="G27" ca="1" si="239">INDIRECT(ADDRESS(38+(COLUMN()-2)/2,7,4,,"PSE"),1)</f>
        <v>1.526 °C</v>
      </c>
      <c r="H27" s="74" t="str">
        <f t="shared" ref="H27" ca="1" si="240">INDIRECT(ADDRESS(38+(COLUMN()-2)/2,13,4,,"PSE"),1)</f>
        <v>155 pm</v>
      </c>
      <c r="I27" s="172" t="str">
        <f t="shared" ref="I27" ca="1" si="241">INDIRECT(ADDRESS(38+(COLUMN()-2)/2,7,4,,"PSE"),1)</f>
        <v>1.857 °C</v>
      </c>
      <c r="J27" s="74" t="str">
        <f t="shared" ref="J27" ca="1" si="242">INDIRECT(ADDRESS(38+(COLUMN()-2)/2,13,4,,"PSE"),1)</f>
        <v>145 pm</v>
      </c>
      <c r="K27" s="172" t="str">
        <f t="shared" ref="K27" ca="1" si="243">INDIRECT(ADDRESS(38+(COLUMN()-2)/2,7,4,,"PSE"),1)</f>
        <v>2.477 °C</v>
      </c>
      <c r="L27" s="74" t="str">
        <f t="shared" ref="L27" ca="1" si="244">INDIRECT(ADDRESS(38+(COLUMN()-2)/2,13,4,,"PSE"),1)</f>
        <v>145 pm</v>
      </c>
      <c r="M27" s="172" t="str">
        <f t="shared" ref="M27" ca="1" si="245">INDIRECT(ADDRESS(38+(COLUMN()-2)/2,7,4,,"PSE"),1)</f>
        <v>2.623 °C</v>
      </c>
      <c r="N27" s="74" t="str">
        <f t="shared" ref="N27" ca="1" si="246">INDIRECT(ADDRESS(38+(COLUMN()-2)/2,13,4,,"PSE"),1)</f>
        <v>135 pm</v>
      </c>
      <c r="O27" s="172" t="str">
        <f t="shared" ref="O27" ca="1" si="247">INDIRECT(ADDRESS(38+(COLUMN()-2)/2,7,4,,"PSE"),1)</f>
        <v>2.157 °C</v>
      </c>
      <c r="P27" s="74" t="str">
        <f t="shared" ref="P27" ca="1" si="248">INDIRECT(ADDRESS(38+(COLUMN()-2)/2,13,4,,"PSE"),1)</f>
        <v>130 pm</v>
      </c>
      <c r="Q27" s="172" t="str">
        <f t="shared" ref="Q27" ca="1" si="249">INDIRECT(ADDRESS(38+(COLUMN()-2)/2,7,4,,"PSE"),1)</f>
        <v>2.334 °C</v>
      </c>
      <c r="R27" s="74" t="str">
        <f t="shared" ref="R27" ca="1" si="250">INDIRECT(ADDRESS(38+(COLUMN()-2)/2,13,4,,"PSE"),1)</f>
        <v>135 pm</v>
      </c>
      <c r="S27" s="172" t="str">
        <f t="shared" ref="S27" ca="1" si="251">INDIRECT(ADDRESS(38+(COLUMN()-2)/2,7,4,,"PSE"),1)</f>
        <v>1.964 °C</v>
      </c>
      <c r="T27" s="74" t="str">
        <f t="shared" ref="T27" ca="1" si="252">INDIRECT(ADDRESS(38+(COLUMN()-2)/2,13,4,,"PSE"),1)</f>
        <v>140 pm</v>
      </c>
      <c r="U27" s="172" t="str">
        <f t="shared" ref="U27" ca="1" si="253">INDIRECT(ADDRESS(38+(COLUMN()-2)/2,7,4,,"PSE"),1)</f>
        <v>1.555 °C</v>
      </c>
      <c r="V27" s="74" t="str">
        <f t="shared" ref="V27" ca="1" si="254">INDIRECT(ADDRESS(38+(COLUMN()-2)/2,13,4,,"PSE"),1)</f>
        <v>160 pm</v>
      </c>
      <c r="W27" s="172" t="str">
        <f t="shared" ref="W27" ca="1" si="255">INDIRECT(ADDRESS(38+(COLUMN()-2)/2,7,4,,"PSE"),1)</f>
        <v>962 °C</v>
      </c>
      <c r="X27" s="74" t="str">
        <f t="shared" ref="X27" ca="1" si="256">INDIRECT(ADDRESS(38+(COLUMN()-2)/2,13,4,,"PSE"),1)</f>
        <v>155 pm</v>
      </c>
      <c r="Y27" s="172" t="str">
        <f t="shared" ref="Y27" ca="1" si="257">INDIRECT(ADDRESS(38+(COLUMN()-2)/2,7,4,,"PSE"),1)</f>
        <v>321 °C</v>
      </c>
      <c r="Z27" s="74" t="str">
        <f t="shared" ref="Z27" ca="1" si="258">INDIRECT(ADDRESS(38+(COLUMN()-2)/2,13,4,,"PSE"),1)</f>
        <v>155 pm</v>
      </c>
      <c r="AA27" s="172" t="str">
        <f t="shared" ref="AA27" ca="1" si="259">INDIRECT(ADDRESS(38+(COLUMN()-2)/2,7,4,,"PSE"),1)</f>
        <v>157 °C</v>
      </c>
      <c r="AB27" s="74" t="str">
        <f t="shared" ref="AB27" ca="1" si="260">INDIRECT(ADDRESS(38+(COLUMN()-2)/2,13,4,,"PSE"),1)</f>
        <v>145 pm</v>
      </c>
      <c r="AC27" s="172" t="str">
        <f t="shared" ref="AC27" ca="1" si="261">INDIRECT(ADDRESS(38+(COLUMN()-2)/2,7,4,,"PSE"),1)</f>
        <v>232 °C</v>
      </c>
      <c r="AD27" s="73" t="str">
        <f t="shared" ref="AD27" ca="1" si="262">INDIRECT(ADDRESS(38+(COLUMN()-2)/2,13,4,,"PSE"),1)</f>
        <v>145 pm</v>
      </c>
      <c r="AE27" s="174" t="str">
        <f t="shared" ref="AE27" ca="1" si="263">INDIRECT(ADDRESS(38+(COLUMN()-2)/2,7,4,,"PSE"),1)</f>
        <v>631 °C</v>
      </c>
      <c r="AF27" s="73" t="str">
        <f t="shared" ref="AF27" ca="1" si="264">INDIRECT(ADDRESS(38+(COLUMN()-2)/2,13,4,,"PSE"),1)</f>
        <v>140 pm</v>
      </c>
      <c r="AG27" s="174" t="str">
        <f t="shared" ref="AG27" ca="1" si="265">INDIRECT(ADDRESS(38+(COLUMN()-2)/2,7,4,,"PSE"),1)</f>
        <v>450 °C</v>
      </c>
      <c r="AH27" s="121" t="str">
        <f t="shared" ref="AH27" ca="1" si="266">INDIRECT(ADDRESS(38+(COLUMN()-2)/2,13,4,,"PSE"),1)</f>
        <v>140 pm</v>
      </c>
      <c r="AI27" s="175" t="str">
        <f t="shared" ref="AI27" ca="1" si="267">INDIRECT(ADDRESS(38+(COLUMN()-2)/2,7,4,,"PSE"),1)</f>
        <v>114 °C</v>
      </c>
      <c r="AJ27" s="119" t="str">
        <f t="shared" ref="AJ27" ca="1" si="268">INDIRECT(ADDRESS(38+(COLUMN()-2)/2,13,4,,"PSE"),1)</f>
        <v>140 pm</v>
      </c>
      <c r="AK27" s="175" t="str">
        <f t="shared" ref="AK27" ca="1" si="269">INDIRECT(ADDRESS(38+(COLUMN()-2)/2,7,4,,"PSE"),1)</f>
        <v>-112 °C</v>
      </c>
      <c r="AL27" s="110"/>
    </row>
    <row r="28" spans="1:38" s="12" customFormat="1" ht="18" customHeight="1">
      <c r="A28" s="159"/>
      <c r="B28" s="146">
        <f ca="1">INDIRECT(ADDRESS(56+14*(COLUMN()&gt;6)+(COLUMN()-2)/2,1,4,,"PSE"),1)</f>
        <v>55</v>
      </c>
      <c r="C28" s="155">
        <f ca="1">INDIRECT(ADDRESS(56+14*(COLUMN()&gt;6)+(COLUMN()-2)/2,4,4,,"PSE"),1)</f>
        <v>132.91</v>
      </c>
      <c r="D28" s="146">
        <f ca="1">INDIRECT(ADDRESS(56+14*(COLUMN()&gt;6)+(COLUMN()-2)/2,1,4,,"PSE"),1)</f>
        <v>56</v>
      </c>
      <c r="E28" s="155">
        <f ca="1">INDIRECT(ADDRESS(56+14*(COLUMN()&gt;6)+(COLUMN()-2)/2,4,4,,"PSE"),1)</f>
        <v>137.33000000000001</v>
      </c>
      <c r="F28" s="243" t="s">
        <v>1310</v>
      </c>
      <c r="G28" s="243"/>
      <c r="H28" s="146">
        <f ca="1">INDIRECT(ADDRESS(72+(COLUMN()-5)/2,1,4,,"PSE"),1)</f>
        <v>72</v>
      </c>
      <c r="I28" s="155">
        <f ca="1">INDIRECT(ADDRESS(71+(COLUMN()-5)/2,4,4,,"PSE"),1)</f>
        <v>178.49</v>
      </c>
      <c r="J28" s="146">
        <f t="shared" ref="J28" ca="1" si="270">INDIRECT(ADDRESS(72+(COLUMN()-5)/2,1,4,,"PSE"),1)</f>
        <v>73</v>
      </c>
      <c r="K28" s="155">
        <f t="shared" ref="K28" ca="1" si="271">INDIRECT(ADDRESS(71+(COLUMN()-5)/2,4,4,,"PSE"),1)</f>
        <v>180.9</v>
      </c>
      <c r="L28" s="146">
        <f t="shared" ref="L28" ca="1" si="272">INDIRECT(ADDRESS(72+(COLUMN()-5)/2,1,4,,"PSE"),1)</f>
        <v>74</v>
      </c>
      <c r="M28" s="155">
        <f t="shared" ref="M28" ca="1" si="273">INDIRECT(ADDRESS(71+(COLUMN()-5)/2,4,4,,"PSE"),1)</f>
        <v>183.84</v>
      </c>
      <c r="N28" s="146">
        <f t="shared" ref="N28" ca="1" si="274">INDIRECT(ADDRESS(72+(COLUMN()-5)/2,1,4,,"PSE"),1)</f>
        <v>75</v>
      </c>
      <c r="O28" s="155">
        <f t="shared" ref="O28" ca="1" si="275">INDIRECT(ADDRESS(71+(COLUMN()-5)/2,4,4,,"PSE"),1)</f>
        <v>186.21</v>
      </c>
      <c r="P28" s="146">
        <f t="shared" ref="P28" ca="1" si="276">INDIRECT(ADDRESS(72+(COLUMN()-5)/2,1,4,,"PSE"),1)</f>
        <v>76</v>
      </c>
      <c r="Q28" s="155">
        <f t="shared" ref="Q28" ca="1" si="277">INDIRECT(ADDRESS(71+(COLUMN()-5)/2,4,4,,"PSE"),1)</f>
        <v>190.23</v>
      </c>
      <c r="R28" s="146">
        <f t="shared" ref="R28" ca="1" si="278">INDIRECT(ADDRESS(72+(COLUMN()-5)/2,1,4,,"PSE"),1)</f>
        <v>77</v>
      </c>
      <c r="S28" s="155">
        <f t="shared" ref="S28" ca="1" si="279">INDIRECT(ADDRESS(71+(COLUMN()-5)/2,4,4,,"PSE"),1)</f>
        <v>192.22</v>
      </c>
      <c r="T28" s="146">
        <f t="shared" ref="T28" ca="1" si="280">INDIRECT(ADDRESS(72+(COLUMN()-5)/2,1,4,,"PSE"),1)</f>
        <v>78</v>
      </c>
      <c r="U28" s="155">
        <f t="shared" ref="U28" ca="1" si="281">INDIRECT(ADDRESS(71+(COLUMN()-5)/2,4,4,,"PSE"),1)</f>
        <v>195.08</v>
      </c>
      <c r="V28" s="146">
        <f t="shared" ref="V28" ca="1" si="282">INDIRECT(ADDRESS(72+(COLUMN()-5)/2,1,4,,"PSE"),1)</f>
        <v>79</v>
      </c>
      <c r="W28" s="70">
        <f t="shared" ref="W28" ca="1" si="283">INDIRECT(ADDRESS(71+(COLUMN()-5)/2,4,4,,"PSE"),1)</f>
        <v>196.97</v>
      </c>
      <c r="X28" s="146">
        <f t="shared" ref="X28" ca="1" si="284">INDIRECT(ADDRESS(72+(COLUMN()-5)/2,1,4,,"PSE"),1)</f>
        <v>80</v>
      </c>
      <c r="Y28" s="155">
        <f t="shared" ref="Y28" ca="1" si="285">INDIRECT(ADDRESS(71+(COLUMN()-5)/2,4,4,,"PSE"),1)</f>
        <v>200.59</v>
      </c>
      <c r="Z28" s="146">
        <f t="shared" ref="Z28" ca="1" si="286">INDIRECT(ADDRESS(72+(COLUMN()-5)/2,1,4,,"PSE"),1)</f>
        <v>81</v>
      </c>
      <c r="AA28" s="155">
        <f t="shared" ref="AA28" ca="1" si="287">INDIRECT(ADDRESS(71+(COLUMN()-5)/2,4,4,,"PSE"),1)</f>
        <v>204.38</v>
      </c>
      <c r="AB28" s="146">
        <f t="shared" ref="AB28" ca="1" si="288">INDIRECT(ADDRESS(72+(COLUMN()-5)/2,1,4,,"PSE"),1)</f>
        <v>82</v>
      </c>
      <c r="AC28" s="67">
        <f t="shared" ref="AC28" ca="1" si="289">INDIRECT(ADDRESS(71+(COLUMN()-5)/2,4,4,,"PSE"),1)</f>
        <v>207.2</v>
      </c>
      <c r="AD28" s="146">
        <f t="shared" ref="AD28" ca="1" si="290">INDIRECT(ADDRESS(72+(COLUMN()-5)/2,1,4,,"PSE"),1)</f>
        <v>83</v>
      </c>
      <c r="AE28" s="70">
        <f t="shared" ref="AE28" ca="1" si="291">INDIRECT(ADDRESS(71+(COLUMN()-5)/2,4,4,,"PSE"),1)</f>
        <v>208.98</v>
      </c>
      <c r="AF28" s="146">
        <f t="shared" ref="AF28" ca="1" si="292">INDIRECT(ADDRESS(72+(COLUMN()-5)/2,1,4,,"PSE"),1)</f>
        <v>84</v>
      </c>
      <c r="AG28" s="67">
        <f t="shared" ref="AG28" ca="1" si="293">INDIRECT(ADDRESS(71+(COLUMN()-5)/2,4,4,,"PSE"),1)</f>
        <v>209</v>
      </c>
      <c r="AH28" s="148">
        <f t="shared" ref="AH28" ca="1" si="294">INDIRECT(ADDRESS(72+(COLUMN()-5)/2,1,4,,"PSE"),1)</f>
        <v>85</v>
      </c>
      <c r="AI28" s="130">
        <f t="shared" ref="AI28" ca="1" si="295">INDIRECT(ADDRESS(71+(COLUMN()-5)/2,4,4,,"PSE"),1)</f>
        <v>210</v>
      </c>
      <c r="AJ28" s="147">
        <f t="shared" ref="AJ28" ca="1" si="296">INDIRECT(ADDRESS(72+(COLUMN()-5)/2,1,4,,"PSE"),1)</f>
        <v>86</v>
      </c>
      <c r="AK28" s="124">
        <f t="shared" ref="AK28" ca="1" si="297">INDIRECT(ADDRESS(71+(COLUMN()-5)/2,4,4,,"PSE"),1)</f>
        <v>222</v>
      </c>
      <c r="AL28" s="111"/>
    </row>
    <row r="29" spans="1:38" s="12" customFormat="1" ht="30" customHeight="1">
      <c r="A29" s="164" t="s">
        <v>549</v>
      </c>
      <c r="B29" s="95" t="str">
        <f ca="1">INDIRECT(ADDRESS(56+14*(COLUMN()&gt;6)+(COLUMN()-2)/2,8,4,,"PSE"),1)</f>
        <v>1,9 g/cm³</v>
      </c>
      <c r="C29" s="13" t="str">
        <f ca="1">INDIRECT(ADDRESS(56+14*(COLUMN()&gt;6)+(COLUMN()-2)/2,2,4,,"PSE"),1)</f>
        <v>Cs</v>
      </c>
      <c r="D29" s="95" t="str">
        <f ca="1">INDIRECT(ADDRESS(56+14*(COLUMN()&gt;6)+(COLUMN()-2)/2,8,4,,"PSE"),1)</f>
        <v>3,62 g/cm³</v>
      </c>
      <c r="E29" s="13" t="str">
        <f ca="1">INDIRECT(ADDRESS(56+14*(COLUMN()&gt;6)+(COLUMN()-2)/2,2,4,,"PSE"),1)</f>
        <v>Ba</v>
      </c>
      <c r="F29" s="244" t="s">
        <v>1055</v>
      </c>
      <c r="G29" s="244"/>
      <c r="H29" s="95" t="str">
        <f ca="1">INDIRECT(ADDRESS(72+(COLUMN()-5)/2,8,4,,"PSE"),1)</f>
        <v>13,28 g/cm³</v>
      </c>
      <c r="I29" s="13" t="str">
        <f ca="1">INDIRECT(ADDRESS(71+(COLUMN()-5)/2,2,4,,"PSE"),1)</f>
        <v>Hf</v>
      </c>
      <c r="J29" s="95" t="str">
        <f t="shared" ref="J29" ca="1" si="298">INDIRECT(ADDRESS(72+(COLUMN()-5)/2,8,4,,"PSE"),1)</f>
        <v>16,65 g/cm³</v>
      </c>
      <c r="K29" s="13" t="str">
        <f t="shared" ref="K29" ca="1" si="299">INDIRECT(ADDRESS(71+(COLUMN()-5)/2,2,4,,"PSE"),1)</f>
        <v>Ta</v>
      </c>
      <c r="L29" s="95" t="str">
        <f t="shared" ref="L29" ca="1" si="300">INDIRECT(ADDRESS(72+(COLUMN()-5)/2,8,4,,"PSE"),1)</f>
        <v>19,3 g/cm³</v>
      </c>
      <c r="M29" s="13" t="str">
        <f t="shared" ref="M29" ca="1" si="301">INDIRECT(ADDRESS(71+(COLUMN()-5)/2,2,4,,"PSE"),1)</f>
        <v>W</v>
      </c>
      <c r="N29" s="95" t="str">
        <f t="shared" ref="N29" ca="1" si="302">INDIRECT(ADDRESS(72+(COLUMN()-5)/2,8,4,,"PSE"),1)</f>
        <v>21 g/cm³</v>
      </c>
      <c r="O29" s="13" t="str">
        <f t="shared" ref="O29" ca="1" si="303">INDIRECT(ADDRESS(71+(COLUMN()-5)/2,2,4,,"PSE"),1)</f>
        <v>Re</v>
      </c>
      <c r="P29" s="95" t="str">
        <f t="shared" ref="P29" ca="1" si="304">INDIRECT(ADDRESS(72+(COLUMN()-5)/2,8,4,,"PSE"),1)</f>
        <v>22,59 g/cm³</v>
      </c>
      <c r="Q29" s="13" t="str">
        <f t="shared" ref="Q29" ca="1" si="305">INDIRECT(ADDRESS(71+(COLUMN()-5)/2,2,4,,"PSE"),1)</f>
        <v>Os</v>
      </c>
      <c r="R29" s="95" t="str">
        <f t="shared" ref="R29" ca="1" si="306">INDIRECT(ADDRESS(72+(COLUMN()-5)/2,8,4,,"PSE"),1)</f>
        <v>22,56 g/cm³</v>
      </c>
      <c r="S29" s="13" t="str">
        <f t="shared" ref="S29" ca="1" si="307">INDIRECT(ADDRESS(71+(COLUMN()-5)/2,2,4,,"PSE"),1)</f>
        <v>Ir</v>
      </c>
      <c r="T29" s="95" t="str">
        <f t="shared" ref="T29" ca="1" si="308">INDIRECT(ADDRESS(72+(COLUMN()-5)/2,8,4,,"PSE"),1)</f>
        <v>21,45 g/cm³</v>
      </c>
      <c r="U29" s="13" t="str">
        <f t="shared" ref="U29" ca="1" si="309">INDIRECT(ADDRESS(71+(COLUMN()-5)/2,2,4,,"PSE"),1)</f>
        <v>Pt</v>
      </c>
      <c r="V29" s="95" t="str">
        <f t="shared" ref="V29" ca="1" si="310">INDIRECT(ADDRESS(72+(COLUMN()-5)/2,8,4,,"PSE"),1)</f>
        <v>19,32 g/cm³</v>
      </c>
      <c r="W29" s="13" t="str">
        <f t="shared" ref="W29" ca="1" si="311">INDIRECT(ADDRESS(71+(COLUMN()-5)/2,2,4,,"PSE"),1)</f>
        <v>Au</v>
      </c>
      <c r="X29" s="95" t="str">
        <f t="shared" ref="X29" ca="1" si="312">INDIRECT(ADDRESS(72+(COLUMN()-5)/2,8,4,,"PSE"),1)</f>
        <v>13,55 g/cm³</v>
      </c>
      <c r="Y29" s="166" t="str">
        <f t="shared" ref="Y29" ca="1" si="313">INDIRECT(ADDRESS(71+(COLUMN()-5)/2,2,4,,"PSE"),1)</f>
        <v>Hg</v>
      </c>
      <c r="Z29" s="95" t="str">
        <f t="shared" ref="Z29" ca="1" si="314">INDIRECT(ADDRESS(72+(COLUMN()-5)/2,8,4,,"PSE"),1)</f>
        <v>11,85 g/cm³</v>
      </c>
      <c r="AA29" s="13" t="str">
        <f t="shared" ref="AA29" ca="1" si="315">INDIRECT(ADDRESS(71+(COLUMN()-5)/2,2,4,,"PSE"),1)</f>
        <v>Tl</v>
      </c>
      <c r="AB29" s="95" t="str">
        <f t="shared" ref="AB29" ca="1" si="316">INDIRECT(ADDRESS(72+(COLUMN()-5)/2,8,4,,"PSE"),1)</f>
        <v>11,34 g/cm³</v>
      </c>
      <c r="AC29" s="13" t="str">
        <f t="shared" ref="AC29" ca="1" si="317">INDIRECT(ADDRESS(71+(COLUMN()-5)/2,2,4,,"PSE"),1)</f>
        <v>Pb</v>
      </c>
      <c r="AD29" s="95" t="str">
        <f t="shared" ref="AD29" ca="1" si="318">INDIRECT(ADDRESS(72+(COLUMN()-5)/2,8,4,,"PSE"),1)</f>
        <v>9,78 g/cm³</v>
      </c>
      <c r="AE29" s="13" t="str">
        <f t="shared" ref="AE29" ca="1" si="319">INDIRECT(ADDRESS(71+(COLUMN()-5)/2,2,4,,"PSE"),1)</f>
        <v>Bi</v>
      </c>
      <c r="AF29" s="95" t="str">
        <f t="shared" ref="AF29" ca="1" si="320">INDIRECT(ADDRESS(72+(COLUMN()-5)/2,8,4,,"PSE"),1)</f>
        <v>9,2 g/cm³</v>
      </c>
      <c r="AG29" s="13" t="str">
        <f t="shared" ref="AG29" ca="1" si="321">INDIRECT(ADDRESS(71+(COLUMN()-5)/2,2,4,,"PSE"),1)</f>
        <v>Po</v>
      </c>
      <c r="AH29" s="96" t="str">
        <f t="shared" ref="AH29" ca="1" si="322">INDIRECT(ADDRESS(72+(COLUMN()-5)/2,8,4,,"PSE"),1)</f>
        <v>6,35 g/cm³</v>
      </c>
      <c r="AI29" s="37" t="str">
        <f t="shared" ref="AI29" ca="1" si="323">INDIRECT(ADDRESS(71+(COLUMN()-5)/2,2,4,,"PSE"),1)</f>
        <v>At</v>
      </c>
      <c r="AJ29" s="118" t="str">
        <f t="shared" ref="AJ29" ca="1" si="324">INDIRECT(ADDRESS(72+(COLUMN()-5)/2,8,4,,"PSE"),1)</f>
        <v>9,07 g/L</v>
      </c>
      <c r="AK29" s="127" t="str">
        <f t="shared" ref="AK29" ca="1" si="325">INDIRECT(ADDRESS(71+(COLUMN()-5)/2,2,4,,"PSE"),1)</f>
        <v>Rn</v>
      </c>
      <c r="AL29" s="102"/>
    </row>
    <row r="30" spans="1:38" s="12" customFormat="1" ht="15" customHeight="1">
      <c r="A30" s="159"/>
      <c r="B30" s="192" t="str">
        <f ca="1">INDIRECT(ADDRESS(56+14*(COLUMN()&gt;6)+(COLUMN()-2)/2,3,4,,"PSE"),1)</f>
        <v>Caesium</v>
      </c>
      <c r="C30" s="193"/>
      <c r="D30" s="192" t="str">
        <f ca="1">INDIRECT(ADDRESS(56+14*(COLUMN()&gt;6)+(COLUMN()-2)/2,3,4,,"PSE"),1)</f>
        <v>Barium</v>
      </c>
      <c r="E30" s="193"/>
      <c r="F30" s="194" t="s">
        <v>1311</v>
      </c>
      <c r="G30" s="195"/>
      <c r="H30" s="192" t="str">
        <f ca="1">INDIRECT(ADDRESS(72+(COLUMN()-5)/2,3,4,,"PSE"),1)</f>
        <v>Hafnium</v>
      </c>
      <c r="I30" s="193"/>
      <c r="J30" s="192" t="str">
        <f t="shared" ref="J30" ca="1" si="326">INDIRECT(ADDRESS(72+(COLUMN()-5)/2,3,4,,"PSE"),1)</f>
        <v>Tantal</v>
      </c>
      <c r="K30" s="193"/>
      <c r="L30" s="192" t="str">
        <f t="shared" ref="L30" ca="1" si="327">INDIRECT(ADDRESS(72+(COLUMN()-5)/2,3,4,,"PSE"),1)</f>
        <v>Wolfram</v>
      </c>
      <c r="M30" s="193"/>
      <c r="N30" s="192" t="str">
        <f t="shared" ref="N30" ca="1" si="328">INDIRECT(ADDRESS(72+(COLUMN()-5)/2,3,4,,"PSE"),1)</f>
        <v>Rhenium</v>
      </c>
      <c r="O30" s="193"/>
      <c r="P30" s="192" t="str">
        <f t="shared" ref="P30" ca="1" si="329">INDIRECT(ADDRESS(72+(COLUMN()-5)/2,3,4,,"PSE"),1)</f>
        <v>Osmium</v>
      </c>
      <c r="Q30" s="193"/>
      <c r="R30" s="192" t="str">
        <f t="shared" ref="R30" ca="1" si="330">INDIRECT(ADDRESS(72+(COLUMN()-5)/2,3,4,,"PSE"),1)</f>
        <v>Iridium</v>
      </c>
      <c r="S30" s="193"/>
      <c r="T30" s="192" t="str">
        <f t="shared" ref="T30" ca="1" si="331">INDIRECT(ADDRESS(72+(COLUMN()-5)/2,3,4,,"PSE"),1)</f>
        <v>Platin</v>
      </c>
      <c r="U30" s="193"/>
      <c r="V30" s="192" t="str">
        <f t="shared" ref="V30" ca="1" si="332">INDIRECT(ADDRESS(72+(COLUMN()-5)/2,3,4,,"PSE"),1)</f>
        <v>Gold</v>
      </c>
      <c r="W30" s="193"/>
      <c r="X30" s="192" t="str">
        <f t="shared" ref="X30" ca="1" si="333">INDIRECT(ADDRESS(72+(COLUMN()-5)/2,3,4,,"PSE"),1)</f>
        <v>Quecksilber</v>
      </c>
      <c r="Y30" s="193"/>
      <c r="Z30" s="192" t="str">
        <f t="shared" ref="Z30" ca="1" si="334">INDIRECT(ADDRESS(72+(COLUMN()-5)/2,3,4,,"PSE"),1)</f>
        <v>Thallium</v>
      </c>
      <c r="AA30" s="193"/>
      <c r="AB30" s="192" t="str">
        <f t="shared" ref="AB30" ca="1" si="335">INDIRECT(ADDRESS(72+(COLUMN()-5)/2,3,4,,"PSE"),1)</f>
        <v>Blei</v>
      </c>
      <c r="AC30" s="193"/>
      <c r="AD30" s="192" t="str">
        <f t="shared" ref="AD30" ca="1" si="336">INDIRECT(ADDRESS(72+(COLUMN()-5)/2,3,4,,"PSE"),1)</f>
        <v>Bismut</v>
      </c>
      <c r="AE30" s="193"/>
      <c r="AF30" s="192" t="str">
        <f t="shared" ref="AF30" ca="1" si="337">INDIRECT(ADDRESS(72+(COLUMN()-5)/2,3,4,,"PSE"),1)</f>
        <v>Polonium</v>
      </c>
      <c r="AG30" s="193"/>
      <c r="AH30" s="204" t="str">
        <f t="shared" ref="AH30" ca="1" si="338">INDIRECT(ADDRESS(72+(COLUMN()-5)/2,3,4,,"PSE"),1)</f>
        <v>Astat</v>
      </c>
      <c r="AI30" s="205"/>
      <c r="AJ30" s="202" t="str">
        <f t="shared" ref="AJ30" ca="1" si="339">INDIRECT(ADDRESS(72+(COLUMN()-5)/2,3,4,,"PSE"),1)</f>
        <v>Radon</v>
      </c>
      <c r="AK30" s="203"/>
      <c r="AL30" s="103"/>
    </row>
    <row r="31" spans="1:38" s="12" customFormat="1" ht="15" customHeight="1">
      <c r="A31" s="159"/>
      <c r="B31" s="273">
        <f ca="1">INDIRECT(ADDRESS(56+14*(COLUMN()&gt;6)+(COLUMN()-2)/2,5,4,,"PSE"),1)</f>
        <v>0.7</v>
      </c>
      <c r="C31" s="254" t="str">
        <f ca="1">INDIRECT(ADDRESS(56+14*(COLUMN()&gt;6)+(COLUMN()-2)/2,6,4,,"PSE"),1)</f>
        <v>690 °C</v>
      </c>
      <c r="D31" s="251">
        <f ca="1">INDIRECT(ADDRESS(56+14*(COLUMN()&gt;6)+(COLUMN()-2)/2,5,4,,"PSE"),1)</f>
        <v>0.9</v>
      </c>
      <c r="E31" s="254" t="str">
        <f ca="1">INDIRECT(ADDRESS(56+14*(COLUMN()&gt;6)+(COLUMN()-2)/2,6,4,,"PSE"),1)</f>
        <v>1.637 °C</v>
      </c>
      <c r="F31" s="273"/>
      <c r="G31" s="254"/>
      <c r="H31" s="273">
        <f ca="1">INDIRECT(ADDRESS(72+(COLUMN()-5)/2,5,4,,"PSE"),1)</f>
        <v>1.3</v>
      </c>
      <c r="I31" s="254" t="str">
        <f ca="1">INDIRECT(ADDRESS(71+(COLUMN()-5)/2,6,4,,"PSE"),1)</f>
        <v>4.603 °C</v>
      </c>
      <c r="J31" s="273">
        <f t="shared" ref="J31" ca="1" si="340">INDIRECT(ADDRESS(72+(COLUMN()-5)/2,5,4,,"PSE"),1)</f>
        <v>1.5</v>
      </c>
      <c r="K31" s="254" t="str">
        <f t="shared" ref="K31" ca="1" si="341">INDIRECT(ADDRESS(71+(COLUMN()-5)/2,6,4,,"PSE"),1)</f>
        <v>5.420 °C</v>
      </c>
      <c r="L31" s="273">
        <f t="shared" ref="L31" ca="1" si="342">INDIRECT(ADDRESS(72+(COLUMN()-5)/2,5,4,,"PSE"),1)</f>
        <v>1.7</v>
      </c>
      <c r="M31" s="254" t="str">
        <f t="shared" ref="M31" ca="1" si="343">INDIRECT(ADDRESS(71+(COLUMN()-5)/2,6,4,,"PSE"),1)</f>
        <v>5.930 °C</v>
      </c>
      <c r="N31" s="273">
        <f t="shared" ref="N31" ca="1" si="344">INDIRECT(ADDRESS(72+(COLUMN()-5)/2,5,4,,"PSE"),1)</f>
        <v>1.9</v>
      </c>
      <c r="O31" s="254" t="str">
        <f t="shared" ref="O31" ca="1" si="345">INDIRECT(ADDRESS(71+(COLUMN()-5)/2,6,4,,"PSE"),1)</f>
        <v>5.630 °C</v>
      </c>
      <c r="P31" s="273">
        <f t="shared" ref="P31" ca="1" si="346">INDIRECT(ADDRESS(72+(COLUMN()-5)/2,5,4,,"PSE"),1)</f>
        <v>2.2000000000000002</v>
      </c>
      <c r="Q31" s="254" t="str">
        <f t="shared" ref="Q31" ca="1" si="347">INDIRECT(ADDRESS(71+(COLUMN()-5)/2,6,4,,"PSE"),1)</f>
        <v>5.000 °C</v>
      </c>
      <c r="R31" s="273">
        <f t="shared" ref="R31" ca="1" si="348">INDIRECT(ADDRESS(72+(COLUMN()-5)/2,5,4,,"PSE"),1)</f>
        <v>2.2000000000000002</v>
      </c>
      <c r="S31" s="254" t="str">
        <f t="shared" ref="S31" ca="1" si="349">INDIRECT(ADDRESS(71+(COLUMN()-5)/2,6,4,,"PSE"),1)</f>
        <v>4.130 °C</v>
      </c>
      <c r="T31" s="273">
        <f t="shared" ref="T31" ca="1" si="350">INDIRECT(ADDRESS(72+(COLUMN()-5)/2,5,4,,"PSE"),1)</f>
        <v>2.2000000000000002</v>
      </c>
      <c r="U31" s="254" t="str">
        <f t="shared" ref="U31" ca="1" si="351">INDIRECT(ADDRESS(71+(COLUMN()-5)/2,6,4,,"PSE"),1)</f>
        <v>3.827 °C</v>
      </c>
      <c r="V31" s="273">
        <f t="shared" ref="V31" ca="1" si="352">INDIRECT(ADDRESS(72+(COLUMN()-5)/2,5,4,,"PSE"),1)</f>
        <v>2.4</v>
      </c>
      <c r="W31" s="254" t="str">
        <f t="shared" ref="W31" ca="1" si="353">INDIRECT(ADDRESS(71+(COLUMN()-5)/2,6,4,,"PSE"),1)</f>
        <v>2.970 °C</v>
      </c>
      <c r="X31" s="273">
        <f t="shared" ref="X31" ca="1" si="354">INDIRECT(ADDRESS(72+(COLUMN()-5)/2,5,4,,"PSE"),1)</f>
        <v>1.9</v>
      </c>
      <c r="Y31" s="254" t="str">
        <f t="shared" ref="Y31" ca="1" si="355">INDIRECT(ADDRESS(71+(COLUMN()-5)/2,6,4,,"PSE"),1)</f>
        <v>357 °C</v>
      </c>
      <c r="Z31" s="273">
        <f t="shared" ref="Z31" ca="1" si="356">INDIRECT(ADDRESS(72+(COLUMN()-5)/2,5,4,,"PSE"),1)</f>
        <v>1.8</v>
      </c>
      <c r="AA31" s="254" t="str">
        <f t="shared" ref="AA31" ca="1" si="357">INDIRECT(ADDRESS(71+(COLUMN()-5)/2,6,4,,"PSE"),1)</f>
        <v>1.460 °C</v>
      </c>
      <c r="AB31" s="273">
        <f t="shared" ref="AB31" ca="1" si="358">INDIRECT(ADDRESS(72+(COLUMN()-5)/2,5,4,,"PSE"),1)</f>
        <v>1.8</v>
      </c>
      <c r="AC31" s="254" t="str">
        <f t="shared" ref="AC31" ca="1" si="359">INDIRECT(ADDRESS(71+(COLUMN()-5)/2,6,4,,"PSE"),1)</f>
        <v>1.744 °C</v>
      </c>
      <c r="AD31" s="273">
        <f t="shared" ref="AD31" ca="1" si="360">INDIRECT(ADDRESS(72+(COLUMN()-5)/2,5,4,,"PSE"),1)</f>
        <v>1.9</v>
      </c>
      <c r="AE31" s="254" t="str">
        <f t="shared" ref="AE31" ca="1" si="361">INDIRECT(ADDRESS(71+(COLUMN()-5)/2,6,4,,"PSE"),1)</f>
        <v>1.560 °C</v>
      </c>
      <c r="AF31" s="273">
        <f t="shared" ref="AF31" ca="1" si="362">INDIRECT(ADDRESS(72+(COLUMN()-5)/2,5,4,,"PSE"),1)</f>
        <v>2</v>
      </c>
      <c r="AG31" s="254" t="str">
        <f t="shared" ref="AG31" ca="1" si="363">INDIRECT(ADDRESS(71+(COLUMN()-5)/2,6,4,,"PSE"),1)</f>
        <v>962 °C</v>
      </c>
      <c r="AH31" s="259">
        <f t="shared" ref="AH31" ca="1" si="364">INDIRECT(ADDRESS(72+(COLUMN()-5)/2,5,4,,"PSE"),1)</f>
        <v>2.2000000000000002</v>
      </c>
      <c r="AI31" s="260" t="str">
        <f t="shared" ref="AI31" ca="1" si="365">INDIRECT(ADDRESS(71+(COLUMN()-5)/2,6,4,,"PSE"),1)</f>
        <v>335 °C</v>
      </c>
      <c r="AJ31" s="261">
        <f t="shared" ref="AJ31" ca="1" si="366">INDIRECT(ADDRESS(72+(COLUMN()-5)/2,5,4,,"PSE"),1)</f>
        <v>0</v>
      </c>
      <c r="AK31" s="262" t="str">
        <f t="shared" ref="AK31" ca="1" si="367">INDIRECT(ADDRESS(71+(COLUMN()-5)/2,6,4,,"PSE"),1)</f>
        <v>-62 °C</v>
      </c>
      <c r="AL31" s="264"/>
    </row>
    <row r="32" spans="1:38" s="12" customFormat="1" ht="11.45" customHeight="1">
      <c r="A32" s="159"/>
      <c r="B32" s="77" t="str">
        <f ca="1">INDIRECT(ADDRESS(56+14*(COLUMN()&gt;6)+(COLUMN()-2)/2,13,4,,"PSE"),1)</f>
        <v>265 pm</v>
      </c>
      <c r="C32" s="172" t="str">
        <f ca="1">INDIRECT(ADDRESS(56+14*(COLUMN()&gt;6)+(COLUMN()-2)/2,7,4,,"PSE"),1)</f>
        <v>28 °C</v>
      </c>
      <c r="D32" s="74" t="str">
        <f ca="1">INDIRECT(ADDRESS(56+14*(COLUMN()&gt;6)+(COLUMN()-2)/2,13,4,,"PSE"),1)</f>
        <v>215 pm</v>
      </c>
      <c r="E32" s="172" t="str">
        <f ca="1">INDIRECT(ADDRESS(56+14*(COLUMN()&gt;6)+(COLUMN()-2)/2,7,4,,"PSE"),1)</f>
        <v>727 °C</v>
      </c>
      <c r="F32" s="74"/>
      <c r="G32" s="172"/>
      <c r="H32" s="74" t="str">
        <f ca="1">INDIRECT(ADDRESS(72+(COLUMN()-5)/2,13,4,,"PSE"),1)</f>
        <v>155 pm</v>
      </c>
      <c r="I32" s="172" t="str">
        <f ca="1">INDIRECT(ADDRESS(71+(COLUMN()-5)/2,7,4,,"PSE"),1)</f>
        <v>2.233 °C</v>
      </c>
      <c r="J32" s="74" t="str">
        <f t="shared" ref="J32" ca="1" si="368">INDIRECT(ADDRESS(72+(COLUMN()-5)/2,13,4,,"PSE"),1)</f>
        <v>145 pm</v>
      </c>
      <c r="K32" s="172" t="str">
        <f t="shared" ref="K32" ca="1" si="369">INDIRECT(ADDRESS(71+(COLUMN()-5)/2,7,4,,"PSE"),1)</f>
        <v>3.017 °C</v>
      </c>
      <c r="L32" s="74" t="str">
        <f t="shared" ref="L32" ca="1" si="370">INDIRECT(ADDRESS(72+(COLUMN()-5)/2,13,4,,"PSE"),1)</f>
        <v>135 pm</v>
      </c>
      <c r="M32" s="172" t="str">
        <f t="shared" ref="M32" ca="1" si="371">INDIRECT(ADDRESS(71+(COLUMN()-5)/2,7,4,,"PSE"),1)</f>
        <v>3.422 °C</v>
      </c>
      <c r="N32" s="74" t="str">
        <f t="shared" ref="N32" ca="1" si="372">INDIRECT(ADDRESS(72+(COLUMN()-5)/2,13,4,,"PSE"),1)</f>
        <v>135 pm</v>
      </c>
      <c r="O32" s="172" t="str">
        <f t="shared" ref="O32" ca="1" si="373">INDIRECT(ADDRESS(71+(COLUMN()-5)/2,7,4,,"PSE"),1)</f>
        <v>3.186 °C</v>
      </c>
      <c r="P32" s="74" t="str">
        <f t="shared" ref="P32" ca="1" si="374">INDIRECT(ADDRESS(72+(COLUMN()-5)/2,13,4,,"PSE"),1)</f>
        <v>130 pm</v>
      </c>
      <c r="Q32" s="172" t="str">
        <f t="shared" ref="Q32" ca="1" si="375">INDIRECT(ADDRESS(71+(COLUMN()-5)/2,7,4,,"PSE"),1)</f>
        <v>3.130 °C</v>
      </c>
      <c r="R32" s="74" t="str">
        <f t="shared" ref="R32" ca="1" si="376">INDIRECT(ADDRESS(72+(COLUMN()-5)/2,13,4,,"PSE"),1)</f>
        <v>135 pm</v>
      </c>
      <c r="S32" s="172" t="str">
        <f t="shared" ref="S32" ca="1" si="377">INDIRECT(ADDRESS(71+(COLUMN()-5)/2,7,4,,"PSE"),1)</f>
        <v>2.466 °C</v>
      </c>
      <c r="T32" s="74" t="str">
        <f t="shared" ref="T32" ca="1" si="378">INDIRECT(ADDRESS(72+(COLUMN()-5)/2,13,4,,"PSE"),1)</f>
        <v>135 pm</v>
      </c>
      <c r="U32" s="172" t="str">
        <f t="shared" ref="U32" ca="1" si="379">INDIRECT(ADDRESS(71+(COLUMN()-5)/2,7,4,,"PSE"),1)</f>
        <v>1.768 °C</v>
      </c>
      <c r="V32" s="74" t="str">
        <f t="shared" ref="V32" ca="1" si="380">INDIRECT(ADDRESS(72+(COLUMN()-5)/2,13,4,,"PSE"),1)</f>
        <v>135 pm</v>
      </c>
      <c r="W32" s="172" t="str">
        <f t="shared" ref="W32" ca="1" si="381">INDIRECT(ADDRESS(71+(COLUMN()-5)/2,7,4,,"PSE"),1)</f>
        <v>1.064 °C</v>
      </c>
      <c r="X32" s="74" t="str">
        <f t="shared" ref="X32" ca="1" si="382">INDIRECT(ADDRESS(72+(COLUMN()-5)/2,13,4,,"PSE"),1)</f>
        <v>150 pm</v>
      </c>
      <c r="Y32" s="172" t="str">
        <f t="shared" ref="Y32" ca="1" si="383">INDIRECT(ADDRESS(71+(COLUMN()-5)/2,7,4,,"PSE"),1)</f>
        <v>-39 °C</v>
      </c>
      <c r="Z32" s="74" t="str">
        <f t="shared" ref="Z32" ca="1" si="384">INDIRECT(ADDRESS(72+(COLUMN()-5)/2,13,4,,"PSE"),1)</f>
        <v>190 pm</v>
      </c>
      <c r="AA32" s="172" t="str">
        <f t="shared" ref="AA32" ca="1" si="385">INDIRECT(ADDRESS(71+(COLUMN()-5)/2,7,4,,"PSE"),1)</f>
        <v>304 °C</v>
      </c>
      <c r="AB32" s="74" t="str">
        <f t="shared" ref="AB32" ca="1" si="386">INDIRECT(ADDRESS(72+(COLUMN()-5)/2,13,4,,"PSE"),1)</f>
        <v>180 pm</v>
      </c>
      <c r="AC32" s="172" t="str">
        <f t="shared" ref="AC32" ca="1" si="387">INDIRECT(ADDRESS(71+(COLUMN()-5)/2,7,4,,"PSE"),1)</f>
        <v>327 °C</v>
      </c>
      <c r="AD32" s="74" t="str">
        <f t="shared" ref="AD32" ca="1" si="388">INDIRECT(ADDRESS(72+(COLUMN()-5)/2,13,4,,"PSE"),1)</f>
        <v>160 pm</v>
      </c>
      <c r="AE32" s="172" t="str">
        <f t="shared" ref="AE32" ca="1" si="389">INDIRECT(ADDRESS(71+(COLUMN()-5)/2,7,4,,"PSE"),1)</f>
        <v>271 °C</v>
      </c>
      <c r="AF32" s="74" t="str">
        <f t="shared" ref="AF32" ca="1" si="390">INDIRECT(ADDRESS(72+(COLUMN()-5)/2,13,4,,"PSE"),1)</f>
        <v>190 pm</v>
      </c>
      <c r="AG32" s="172" t="str">
        <f t="shared" ref="AG32" ca="1" si="391">INDIRECT(ADDRESS(71+(COLUMN()-5)/2,7,4,,"PSE"),1)</f>
        <v>254 °C</v>
      </c>
      <c r="AH32" s="73" t="str">
        <f t="shared" ref="AH32" ca="1" si="392">INDIRECT(ADDRESS(72+(COLUMN()-5)/2,13,4,,"PSE"),1)</f>
        <v>121 pm</v>
      </c>
      <c r="AI32" s="174" t="str">
        <f t="shared" ref="AI32" ca="1" si="393">INDIRECT(ADDRESS(71+(COLUMN()-5)/2,7,4,,"PSE"),1)</f>
        <v>302 °C</v>
      </c>
      <c r="AJ32" s="119" t="str">
        <f t="shared" ref="AJ32" ca="1" si="394">INDIRECT(ADDRESS(72+(COLUMN()-5)/2,13,4,,"PSE"),1)</f>
        <v>150 pm</v>
      </c>
      <c r="AK32" s="175" t="str">
        <f t="shared" ref="AK32" ca="1" si="395">INDIRECT(ADDRESS(71+(COLUMN()-5)/2,7,4,,"PSE"),1)</f>
        <v>-71 °C</v>
      </c>
      <c r="AL32" s="110"/>
    </row>
    <row r="33" spans="1:58" s="12" customFormat="1" ht="18" customHeight="1">
      <c r="A33" s="159"/>
      <c r="B33" s="146">
        <f ca="1">INDIRECT(ADDRESS(88+14*(COLUMN()&gt;6)+(COLUMN()-2)/2,1,4,,"PSE"),1)</f>
        <v>87</v>
      </c>
      <c r="C33" s="67">
        <f ca="1">INDIRECT(ADDRESS(88+14*(COLUMN()&gt;6)+(COLUMN()-2)/2,4,4,,"PSE"),1)</f>
        <v>223</v>
      </c>
      <c r="D33" s="146">
        <f ca="1">INDIRECT(ADDRESS(88+14*(COLUMN()&gt;6)+(COLUMN()-2)/2,1,4,,"PSE"),1)</f>
        <v>88</v>
      </c>
      <c r="E33" s="67">
        <f ca="1">INDIRECT(ADDRESS(88+14*(COLUMN()&gt;6)+(COLUMN()-2)/2,4,4,,"PSE"),1)</f>
        <v>226</v>
      </c>
      <c r="F33" s="243" t="s">
        <v>1314</v>
      </c>
      <c r="G33" s="243"/>
      <c r="H33" s="146">
        <f ca="1">INDIRECT(ADDRESS(104+(COLUMN()-5)/2,1,4,,"PSE"),1)</f>
        <v>104</v>
      </c>
      <c r="I33" s="67">
        <f ca="1">INDIRECT(ADDRESS(103+(COLUMN()-5)/2,4,4,,"PSE"),1)</f>
        <v>261</v>
      </c>
      <c r="J33" s="146">
        <f t="shared" ref="J33" ca="1" si="396">INDIRECT(ADDRESS(104+(COLUMN()-5)/2,1,4,,"PSE"),1)</f>
        <v>105</v>
      </c>
      <c r="K33" s="67">
        <f t="shared" ref="K33" ca="1" si="397">INDIRECT(ADDRESS(103+(COLUMN()-5)/2,4,4,,"PSE"),1)</f>
        <v>262</v>
      </c>
      <c r="L33" s="146">
        <f t="shared" ref="L33" ca="1" si="398">INDIRECT(ADDRESS(104+(COLUMN()-5)/2,1,4,,"PSE"),1)</f>
        <v>106</v>
      </c>
      <c r="M33" s="67">
        <f t="shared" ref="M33" ca="1" si="399">INDIRECT(ADDRESS(103+(COLUMN()-5)/2,4,4,,"PSE"),1)</f>
        <v>263</v>
      </c>
      <c r="N33" s="146">
        <f t="shared" ref="N33" ca="1" si="400">INDIRECT(ADDRESS(104+(COLUMN()-5)/2,1,4,,"PSE"),1)</f>
        <v>107</v>
      </c>
      <c r="O33" s="67">
        <f t="shared" ref="O33" ca="1" si="401">INDIRECT(ADDRESS(103+(COLUMN()-5)/2,4,4,,"PSE"),1)</f>
        <v>264</v>
      </c>
      <c r="P33" s="146">
        <f t="shared" ref="P33" ca="1" si="402">INDIRECT(ADDRESS(104+(COLUMN()-5)/2,1,4,,"PSE"),1)</f>
        <v>108</v>
      </c>
      <c r="Q33" s="67">
        <f t="shared" ref="Q33" ca="1" si="403">INDIRECT(ADDRESS(103+(COLUMN()-5)/2,4,4,,"PSE"),1)</f>
        <v>265</v>
      </c>
      <c r="R33" s="146">
        <f t="shared" ref="R33" ca="1" si="404">INDIRECT(ADDRESS(104+(COLUMN()-5)/2,1,4,,"PSE"),1)</f>
        <v>109</v>
      </c>
      <c r="S33" s="67">
        <f t="shared" ref="S33" ca="1" si="405">INDIRECT(ADDRESS(103+(COLUMN()-5)/2,4,4,,"PSE"),1)</f>
        <v>266</v>
      </c>
      <c r="T33" s="146">
        <f t="shared" ref="T33" ca="1" si="406">INDIRECT(ADDRESS(104+(COLUMN()-5)/2,1,4,,"PSE"),1)</f>
        <v>110</v>
      </c>
      <c r="U33" s="67">
        <f t="shared" ref="U33" ca="1" si="407">INDIRECT(ADDRESS(103+(COLUMN()-5)/2,4,4,,"PSE"),1)</f>
        <v>282</v>
      </c>
      <c r="V33" s="146">
        <f t="shared" ref="V33" ca="1" si="408">INDIRECT(ADDRESS(104+(COLUMN()-5)/2,1,4,,"PSE"),1)</f>
        <v>111</v>
      </c>
      <c r="W33" s="67">
        <f t="shared" ref="W33" ca="1" si="409">INDIRECT(ADDRESS(103+(COLUMN()-5)/2,4,4,,"PSE"),1)</f>
        <v>280</v>
      </c>
      <c r="X33" s="146">
        <f t="shared" ref="X33" ca="1" si="410">INDIRECT(ADDRESS(104+(COLUMN()-5)/2,1,4,,"PSE"),1)</f>
        <v>112</v>
      </c>
      <c r="Y33" s="67">
        <f t="shared" ref="Y33" ca="1" si="411">INDIRECT(ADDRESS(103+(COLUMN()-5)/2,4,4,,"PSE"),1)</f>
        <v>285</v>
      </c>
      <c r="Z33" s="146">
        <f t="shared" ref="Z33" ca="1" si="412">INDIRECT(ADDRESS(104+(COLUMN()-5)/2,1,4,,"PSE"),1)</f>
        <v>113</v>
      </c>
      <c r="AA33" s="67" t="str">
        <f t="shared" ref="AA33" ca="1" si="413">INDIRECT(ADDRESS(103+(COLUMN()-5)/2,4,4,,"PSE"),1)</f>
        <v>-</v>
      </c>
      <c r="AB33" s="146">
        <f t="shared" ref="AB33" ca="1" si="414">INDIRECT(ADDRESS(104+(COLUMN()-5)/2,1,4,,"PSE"),1)</f>
        <v>114</v>
      </c>
      <c r="AC33" s="67">
        <f t="shared" ref="AC33" ca="1" si="415">INDIRECT(ADDRESS(103+(COLUMN()-5)/2,4,4,,"PSE"),1)</f>
        <v>289</v>
      </c>
      <c r="AD33" s="146">
        <f t="shared" ref="AD33" ca="1" si="416">INDIRECT(ADDRESS(104+(COLUMN()-5)/2,1,4,,"PSE"),1)</f>
        <v>115</v>
      </c>
      <c r="AE33" s="67">
        <f t="shared" ref="AE33" ca="1" si="417">INDIRECT(ADDRESS(103+(COLUMN()-5)/2,4,4,,"PSE"),1)</f>
        <v>291</v>
      </c>
      <c r="AF33" s="146">
        <f t="shared" ref="AF33" ca="1" si="418">INDIRECT(ADDRESS(104+(COLUMN()-5)/2,1,4,,"PSE"),1)</f>
        <v>116</v>
      </c>
      <c r="AG33" s="67">
        <f t="shared" ref="AG33" ca="1" si="419">INDIRECT(ADDRESS(103+(COLUMN()-5)/2,4,4,,"PSE"),1)</f>
        <v>293</v>
      </c>
      <c r="AH33" s="146">
        <f t="shared" ref="AH33:AJ33" ca="1" si="420">INDIRECT(ADDRESS(104+(COLUMN()-5)/2,1,4,,"PSE"),1)</f>
        <v>117</v>
      </c>
      <c r="AI33" s="67"/>
      <c r="AJ33" s="146">
        <f t="shared" ca="1" si="420"/>
        <v>118</v>
      </c>
      <c r="AK33" s="67"/>
      <c r="AL33" s="112"/>
      <c r="AM33" s="10"/>
      <c r="AN33" s="68"/>
      <c r="AO33" s="10"/>
      <c r="AP33" s="68"/>
      <c r="AQ33" s="10"/>
      <c r="AR33" s="68"/>
      <c r="AS33" s="10"/>
      <c r="AT33" s="68"/>
      <c r="AU33" s="10"/>
      <c r="AV33" s="68"/>
      <c r="AW33" s="10"/>
      <c r="AX33" s="68"/>
      <c r="AY33" s="10"/>
      <c r="AZ33" s="68"/>
      <c r="BA33" s="10"/>
      <c r="BB33" s="68"/>
      <c r="BC33" s="10"/>
      <c r="BD33" s="68"/>
      <c r="BE33" s="10"/>
      <c r="BF33" s="68"/>
    </row>
    <row r="34" spans="1:58" s="12" customFormat="1" ht="30" customHeight="1">
      <c r="A34" s="164" t="s">
        <v>550</v>
      </c>
      <c r="B34" s="95" t="str">
        <f ca="1">INDIRECT(ADDRESS(88+14*(COLUMN()&gt;6)+(COLUMN()-2)/2,8,4,,"PSE"),1)</f>
        <v>1,87 g/cm³</v>
      </c>
      <c r="C34" s="13" t="str">
        <f ca="1">INDIRECT(ADDRESS(88+14*(COLUMN()&gt;6)+(COLUMN()-2)/2,2,4,,"PSE"),1)</f>
        <v>Fr</v>
      </c>
      <c r="D34" s="95" t="str">
        <f ca="1">INDIRECT(ADDRESS(88+14*(COLUMN()&gt;6)+(COLUMN()-2)/2,8,4,,"PSE"),1)</f>
        <v>5,5 g/cm³</v>
      </c>
      <c r="E34" s="13" t="str">
        <f ca="1">INDIRECT(ADDRESS(88+14*(COLUMN()&gt;6)+(COLUMN()-2)/2,2,4,,"PSE"),1)</f>
        <v>Ra</v>
      </c>
      <c r="F34" s="244" t="s">
        <v>1056</v>
      </c>
      <c r="G34" s="244"/>
      <c r="H34" s="95" t="str">
        <f ca="1">INDIRECT(ADDRESS(103+(COLUMN()-5)/2,8,4,,"PSE"),1)</f>
        <v>-</v>
      </c>
      <c r="I34" s="13" t="str">
        <f ca="1">INDIRECT(ADDRESS(103+(COLUMN()-5)/2,2,4,,"PSE"),1)</f>
        <v>Rf</v>
      </c>
      <c r="J34" s="95" t="str">
        <f ca="1">INDIRECT(ADDRESS(103+(COLUMN()-5)/2,8,4,,"PSE"),1)</f>
        <v>-</v>
      </c>
      <c r="K34" s="13" t="str">
        <f ca="1">INDIRECT(ADDRESS(103+(COLUMN()-5)/2,2,4,,"PSE"),1)</f>
        <v>Db</v>
      </c>
      <c r="L34" s="95" t="str">
        <f ca="1">INDIRECT(ADDRESS(103+(COLUMN()-5)/2,8,4,,"PSE"),1)</f>
        <v>-</v>
      </c>
      <c r="M34" s="13" t="str">
        <f ca="1">INDIRECT(ADDRESS(103+(COLUMN()-5)/2,2,4,,"PSE"),1)</f>
        <v>Sg</v>
      </c>
      <c r="N34" s="95" t="str">
        <f ca="1">INDIRECT(ADDRESS(103+(COLUMN()-5)/2,8,4,,"PSE"),1)</f>
        <v>-</v>
      </c>
      <c r="O34" s="13" t="str">
        <f ca="1">INDIRECT(ADDRESS(103+(COLUMN()-5)/2,2,4,,"PSE"),1)</f>
        <v>Bh</v>
      </c>
      <c r="P34" s="95" t="str">
        <f ca="1">INDIRECT(ADDRESS(103+(COLUMN()-5)/2,8,4,,"PSE"),1)</f>
        <v>-</v>
      </c>
      <c r="Q34" s="13" t="str">
        <f ca="1">INDIRECT(ADDRESS(103+(COLUMN()-5)/2,2,4,,"PSE"),1)</f>
        <v>Hs</v>
      </c>
      <c r="R34" s="95" t="str">
        <f ca="1">INDIRECT(ADDRESS(103+(COLUMN()-5)/2,8,4,,"PSE"),1)</f>
        <v>-</v>
      </c>
      <c r="S34" s="13" t="str">
        <f ca="1">INDIRECT(ADDRESS(103+(COLUMN()-5)/2,2,4,,"PSE"),1)</f>
        <v>Mt</v>
      </c>
      <c r="T34" s="95" t="str">
        <f ca="1">INDIRECT(ADDRESS(103+(COLUMN()-5)/2,8,4,,"PSE"),1)</f>
        <v>-</v>
      </c>
      <c r="U34" s="13" t="str">
        <f ca="1">INDIRECT(ADDRESS(103+(COLUMN()-5)/2,2,4,,"PSE"),1)</f>
        <v>Ds</v>
      </c>
      <c r="V34" s="95" t="str">
        <f ca="1">INDIRECT(ADDRESS(103+(COLUMN()-5)/2,8,4,,"PSE"),1)</f>
        <v>-</v>
      </c>
      <c r="W34" s="13" t="str">
        <f ca="1">INDIRECT(ADDRESS(103+(COLUMN()-5)/2,2,4,,"PSE"),1)</f>
        <v>Rg</v>
      </c>
      <c r="X34" s="95" t="str">
        <f ca="1">INDIRECT(ADDRESS(103+(COLUMN()-5)/2,8,4,,"PSE"),1)</f>
        <v>-</v>
      </c>
      <c r="Y34" s="13" t="str">
        <f ca="1">INDIRECT(ADDRESS(103+(COLUMN()-5)/2,2,4,,"PSE"),1)</f>
        <v>Cn</v>
      </c>
      <c r="Z34" s="198" t="str">
        <f ca="1">INDIRECT(ADDRESS(88+14*(COLUMN()&gt;6)+(COLUMN()-2)/2,2,4,,"PSE"),1)</f>
        <v>Uut</v>
      </c>
      <c r="AA34" s="199"/>
      <c r="AB34" s="58" t="str">
        <f ca="1">INDIRECT(ADDRESS(103+(COLUMN()-5)/2,8,4,,"PSE"),1)</f>
        <v>-</v>
      </c>
      <c r="AC34" s="13" t="str">
        <f ca="1">INDIRECT(ADDRESS(103+(COLUMN()-5)/2,2,4,,"PSE"),1)</f>
        <v>Fl</v>
      </c>
      <c r="AD34" s="198" t="str">
        <f ca="1">INDIRECT(ADDRESS(88+14*(COLUMN()&gt;6)+(COLUMN()-2)/2,2,4,,"PSE"),1)</f>
        <v>Uup</v>
      </c>
      <c r="AE34" s="199"/>
      <c r="AF34" s="58" t="str">
        <f ca="1">INDIRECT(ADDRESS(103+(COLUMN()-5)/2,8,4,,"PSE"),1)</f>
        <v>-</v>
      </c>
      <c r="AG34" s="13" t="str">
        <f ca="1">INDIRECT(ADDRESS(103+(COLUMN()-5)/2,2,4,,"PSE"),1)</f>
        <v>Lv</v>
      </c>
      <c r="AH34" s="198" t="str">
        <f ca="1">INDIRECT(ADDRESS(88+14*(COLUMN()&gt;6)+(COLUMN()-2)/2,2,4,,"PSE"),1)</f>
        <v>Uus</v>
      </c>
      <c r="AI34" s="199"/>
      <c r="AJ34" s="198" t="str">
        <f ca="1">INDIRECT(ADDRESS(88+14*(COLUMN()&gt;6)+(COLUMN()-2)/2,2,4,,"PSE"),1)</f>
        <v>Uuo</v>
      </c>
      <c r="AK34" s="208"/>
      <c r="AL34" s="104"/>
      <c r="AM34" s="14"/>
      <c r="AN34" s="15"/>
      <c r="AO34" s="14"/>
      <c r="AP34" s="15"/>
      <c r="AQ34" s="14"/>
      <c r="AR34" s="15"/>
      <c r="AS34" s="14"/>
      <c r="AT34" s="15"/>
      <c r="AU34" s="14"/>
      <c r="AV34" s="15"/>
      <c r="AW34" s="14"/>
      <c r="AX34" s="15"/>
      <c r="AY34" s="14"/>
      <c r="AZ34" s="15"/>
      <c r="BA34" s="14"/>
      <c r="BB34" s="15"/>
      <c r="BC34" s="14"/>
      <c r="BD34" s="15"/>
      <c r="BE34" s="14"/>
      <c r="BF34" s="15"/>
    </row>
    <row r="35" spans="1:58" s="12" customFormat="1" ht="13.9" customHeight="1">
      <c r="A35" s="161"/>
      <c r="B35" s="192" t="str">
        <f ca="1">INDIRECT(ADDRESS(88+14*(COLUMN()&gt;6)+(COLUMN()-2)/2,3,4,,"PSE"),1)</f>
        <v>Francium</v>
      </c>
      <c r="C35" s="193"/>
      <c r="D35" s="192" t="str">
        <f ca="1">INDIRECT(ADDRESS(88+14*(COLUMN()&gt;6)+(COLUMN()-2)/2,3,4,,"PSE"),1)</f>
        <v>Radium</v>
      </c>
      <c r="E35" s="193"/>
      <c r="F35" s="194" t="s">
        <v>1312</v>
      </c>
      <c r="G35" s="193"/>
      <c r="H35" s="194" t="str">
        <f ca="1">INDIRECT(ADDRESS(104+(COLUMN()-5)/2,3,4,,"PSE"),1)</f>
        <v>Rutherfordium</v>
      </c>
      <c r="I35" s="195"/>
      <c r="J35" s="192" t="str">
        <f t="shared" ref="J35" ca="1" si="421">INDIRECT(ADDRESS(104+(COLUMN()-5)/2,3,4,,"PSE"),1)</f>
        <v>Dubnium</v>
      </c>
      <c r="K35" s="193"/>
      <c r="L35" s="192" t="str">
        <f t="shared" ref="L35" ca="1" si="422">INDIRECT(ADDRESS(104+(COLUMN()-5)/2,3,4,,"PSE"),1)</f>
        <v>Seaborgium</v>
      </c>
      <c r="M35" s="193"/>
      <c r="N35" s="192" t="str">
        <f t="shared" ref="N35" ca="1" si="423">INDIRECT(ADDRESS(104+(COLUMN()-5)/2,3,4,,"PSE"),1)</f>
        <v>Bohrium</v>
      </c>
      <c r="O35" s="193"/>
      <c r="P35" s="192" t="str">
        <f t="shared" ref="P35" ca="1" si="424">INDIRECT(ADDRESS(104+(COLUMN()-5)/2,3,4,,"PSE"),1)</f>
        <v>Hassium</v>
      </c>
      <c r="Q35" s="193"/>
      <c r="R35" s="192" t="str">
        <f t="shared" ref="R35" ca="1" si="425">INDIRECT(ADDRESS(104+(COLUMN()-5)/2,3,4,,"PSE"),1)</f>
        <v>Meitnerium</v>
      </c>
      <c r="S35" s="193"/>
      <c r="T35" s="192" t="str">
        <f t="shared" ref="T35" ca="1" si="426">INDIRECT(ADDRESS(104+(COLUMN()-5)/2,3,4,,"PSE"),1)</f>
        <v>Darmstadtium</v>
      </c>
      <c r="U35" s="193"/>
      <c r="V35" s="192" t="str">
        <f t="shared" ref="V35" ca="1" si="427">INDIRECT(ADDRESS(104+(COLUMN()-5)/2,3,4,,"PSE"),1)</f>
        <v>Roentgenium</v>
      </c>
      <c r="W35" s="193"/>
      <c r="X35" s="192" t="str">
        <f t="shared" ref="X35" ca="1" si="428">INDIRECT(ADDRESS(104+(COLUMN()-5)/2,3,4,,"PSE"),1)</f>
        <v>Copernicium</v>
      </c>
      <c r="Y35" s="193"/>
      <c r="Z35" s="200" t="str">
        <f t="shared" ref="Z35" ca="1" si="429">INDIRECT(ADDRESS(104+(COLUMN()-5)/2,3,4,,"PSE"),1)</f>
        <v xml:space="preserve">Ununtrium </v>
      </c>
      <c r="AA35" s="201"/>
      <c r="AB35" s="192" t="str">
        <f t="shared" ref="AB35" ca="1" si="430">INDIRECT(ADDRESS(104+(COLUMN()-5)/2,3,4,,"PSE"),1)</f>
        <v>Flerovium</v>
      </c>
      <c r="AC35" s="193"/>
      <c r="AD35" s="200" t="str">
        <f t="shared" ref="AD35" ca="1" si="431">INDIRECT(ADDRESS(104+(COLUMN()-5)/2,3,4,,"PSE"),1)</f>
        <v>Ununpentium</v>
      </c>
      <c r="AE35" s="201"/>
      <c r="AF35" s="192" t="str">
        <f t="shared" ref="AF35" ca="1" si="432">INDIRECT(ADDRESS(104+(COLUMN()-5)/2,3,4,,"PSE"),1)</f>
        <v>Livermorium</v>
      </c>
      <c r="AG35" s="193"/>
      <c r="AH35" s="200" t="str">
        <f t="shared" ref="AH35" ca="1" si="433">INDIRECT(ADDRESS(104+(COLUMN()-5)/2,3,4,,"PSE"),1)</f>
        <v>Ununseptium</v>
      </c>
      <c r="AI35" s="201"/>
      <c r="AJ35" s="200" t="str">
        <f t="shared" ref="AJ35" ca="1" si="434">INDIRECT(ADDRESS(104+(COLUMN()-5)/2,3,4,,"PSE"),1)</f>
        <v>Ununoctium</v>
      </c>
      <c r="AK35" s="201"/>
      <c r="AL35" s="105"/>
      <c r="AM35" s="59"/>
      <c r="AN35" s="60"/>
      <c r="AO35" s="59"/>
      <c r="AP35" s="60"/>
      <c r="AQ35" s="59"/>
      <c r="AR35" s="60"/>
      <c r="AS35" s="59"/>
      <c r="AT35" s="60"/>
      <c r="AU35" s="59"/>
      <c r="AV35" s="60"/>
      <c r="AW35" s="59"/>
      <c r="AX35" s="60"/>
      <c r="AY35" s="59"/>
      <c r="AZ35" s="60"/>
      <c r="BA35" s="59"/>
      <c r="BB35" s="60"/>
      <c r="BC35" s="59"/>
      <c r="BD35" s="60"/>
      <c r="BE35" s="59"/>
      <c r="BF35" s="60"/>
    </row>
    <row r="36" spans="1:58" s="12" customFormat="1" ht="15" customHeight="1">
      <c r="A36" s="161"/>
      <c r="B36" s="273">
        <f ca="1">INDIRECT(ADDRESS(88+14*(COLUMN()&gt;6)+(COLUMN()-2)/2,5,4,,"PSE"),1)</f>
        <v>0.7</v>
      </c>
      <c r="C36" s="254" t="str">
        <f ca="1">INDIRECT(ADDRESS(88+14*(COLUMN()&gt;6)+(COLUMN()-2)/2,6,4,,"PSE"),1)</f>
        <v>677 °C</v>
      </c>
      <c r="D36" s="251">
        <f ca="1">INDIRECT(ADDRESS(88+14*(COLUMN()&gt;6)+(COLUMN()-2)/2,5,4,,"PSE"),1)</f>
        <v>0.9</v>
      </c>
      <c r="E36" s="254" t="str">
        <f ca="1">INDIRECT(ADDRESS(88+14*(COLUMN()&gt;6)+(COLUMN()-2)/2,6,4,,"PSE"),1)</f>
        <v>1.737 °C</v>
      </c>
      <c r="F36" s="273"/>
      <c r="G36" s="254"/>
      <c r="H36" s="277"/>
      <c r="I36" s="254"/>
      <c r="J36" s="277"/>
      <c r="K36" s="254"/>
      <c r="L36" s="277"/>
      <c r="M36" s="254"/>
      <c r="N36" s="277"/>
      <c r="O36" s="254"/>
      <c r="P36" s="277"/>
      <c r="Q36" s="254"/>
      <c r="R36" s="277"/>
      <c r="S36" s="254"/>
      <c r="T36" s="277"/>
      <c r="U36" s="254"/>
      <c r="V36" s="277"/>
      <c r="W36" s="254"/>
      <c r="X36" s="278"/>
      <c r="Y36" s="279"/>
      <c r="Z36" s="278"/>
      <c r="AA36" s="279"/>
      <c r="AB36" s="278"/>
      <c r="AC36" s="279"/>
      <c r="AD36" s="278"/>
      <c r="AE36" s="279"/>
      <c r="AF36" s="278"/>
      <c r="AG36" s="279"/>
      <c r="AH36" s="278"/>
      <c r="AI36" s="279"/>
      <c r="AJ36" s="278"/>
      <c r="AK36" s="279"/>
      <c r="AL36" s="280"/>
      <c r="AM36" s="170"/>
      <c r="AN36" s="171"/>
      <c r="AO36" s="170"/>
      <c r="AP36" s="171"/>
      <c r="AQ36" s="170"/>
      <c r="AR36" s="171"/>
      <c r="AS36" s="170"/>
      <c r="AT36" s="171"/>
      <c r="AU36" s="170"/>
      <c r="AV36" s="171"/>
      <c r="AW36" s="170"/>
      <c r="AX36" s="171"/>
      <c r="AY36" s="170"/>
      <c r="AZ36" s="171"/>
      <c r="BA36" s="170"/>
      <c r="BB36" s="171"/>
      <c r="BC36" s="170"/>
      <c r="BD36" s="171"/>
      <c r="BE36" s="170"/>
      <c r="BF36" s="171"/>
    </row>
    <row r="37" spans="1:58" s="12" customFormat="1" ht="11.45" customHeight="1">
      <c r="A37" s="161"/>
      <c r="B37" s="98" t="str">
        <f ca="1">INDIRECT(ADDRESS(88+14*(COLUMN()&gt;6)+(COLUMN()-2)/2,13,4,,"PSE"),1)</f>
        <v>270 pm</v>
      </c>
      <c r="C37" s="167" t="str">
        <f ca="1">INDIRECT(ADDRESS(88+14*(COLUMN()&gt;6)+(COLUMN()-2)/2,7,4,,"PSE"),1)</f>
        <v>27 °C</v>
      </c>
      <c r="D37" s="98" t="str">
        <f ca="1">INDIRECT(ADDRESS(88+14*(COLUMN()&gt;6)+(COLUMN()-2)/2,13,4,,"PSE"),1)</f>
        <v>215 pm</v>
      </c>
      <c r="E37" s="167" t="str">
        <f ca="1">INDIRECT(ADDRESS(88+14*(COLUMN()&gt;6)+(COLUMN()-2)/2,7,4,,"PSE"),1)</f>
        <v>700 °C</v>
      </c>
      <c r="F37" s="98"/>
      <c r="G37" s="167"/>
      <c r="H37" s="98"/>
      <c r="I37" s="167"/>
      <c r="J37" s="98"/>
      <c r="K37" s="167"/>
      <c r="L37" s="98"/>
      <c r="M37" s="167"/>
      <c r="N37" s="98"/>
      <c r="O37" s="167"/>
      <c r="P37" s="98"/>
      <c r="Q37" s="167"/>
      <c r="R37" s="98"/>
      <c r="S37" s="167"/>
      <c r="T37" s="98"/>
      <c r="U37" s="167"/>
      <c r="V37" s="98"/>
      <c r="W37" s="167"/>
      <c r="X37" s="99"/>
      <c r="Y37" s="168"/>
      <c r="Z37" s="99"/>
      <c r="AA37" s="168"/>
      <c r="AB37" s="99"/>
      <c r="AC37" s="168"/>
      <c r="AD37" s="99"/>
      <c r="AE37" s="168"/>
      <c r="AF37" s="99"/>
      <c r="AG37" s="168"/>
      <c r="AH37" s="99"/>
      <c r="AI37" s="168"/>
      <c r="AJ37" s="75"/>
      <c r="AK37" s="169"/>
      <c r="AL37" s="113"/>
      <c r="AM37" s="170"/>
      <c r="AN37" s="171"/>
      <c r="AO37" s="170"/>
      <c r="AP37" s="171"/>
      <c r="AQ37" s="170"/>
      <c r="AR37" s="171"/>
      <c r="AS37" s="170"/>
      <c r="AT37" s="171"/>
      <c r="AU37" s="170"/>
      <c r="AV37" s="171"/>
      <c r="AW37" s="170"/>
      <c r="AX37" s="171"/>
      <c r="AY37" s="170"/>
      <c r="AZ37" s="171"/>
      <c r="BA37" s="170"/>
      <c r="BB37" s="171"/>
      <c r="BC37" s="170"/>
      <c r="BD37" s="171"/>
      <c r="BE37" s="170"/>
      <c r="BF37" s="171"/>
    </row>
    <row r="38" spans="1:58" s="101" customFormat="1" ht="11.45" customHeight="1">
      <c r="A38" s="162"/>
      <c r="B38" s="196"/>
      <c r="C38" s="196"/>
      <c r="D38" s="196"/>
      <c r="E38" s="196"/>
      <c r="F38" s="136"/>
      <c r="G38" s="134"/>
      <c r="H38" s="100"/>
      <c r="J38" s="100"/>
      <c r="L38" s="100"/>
      <c r="N38" s="100"/>
      <c r="P38" s="100"/>
      <c r="R38" s="100"/>
      <c r="T38" s="100"/>
      <c r="V38" s="100"/>
      <c r="X38" s="100"/>
      <c r="AL38" s="108"/>
    </row>
    <row r="39" spans="1:58" ht="11.45" customHeight="1">
      <c r="A39" s="162"/>
      <c r="F39" s="137"/>
      <c r="G39" s="135"/>
    </row>
    <row r="40" spans="1:58" s="12" customFormat="1" ht="18" customHeight="1">
      <c r="A40" s="161"/>
      <c r="B40" s="72"/>
      <c r="D40" s="89"/>
      <c r="E40" s="69"/>
      <c r="F40" s="146">
        <f ca="1">INDIRECT(ADDRESS(58+(COLUMN()-5)/2,1,4,,"PSE"),1)</f>
        <v>57</v>
      </c>
      <c r="G40" s="153">
        <f ca="1">INDIRECT(ADDRESS(57+(COLUMN()-5)/2,4,4,,"PSE"),1)</f>
        <v>138.91</v>
      </c>
      <c r="H40" s="146">
        <f t="shared" ref="H40" ca="1" si="435">INDIRECT(ADDRESS(58+(COLUMN()-5)/2,1,4,,"PSE"),1)</f>
        <v>58</v>
      </c>
      <c r="I40" s="153">
        <f t="shared" ref="I40" ca="1" si="436">INDIRECT(ADDRESS(57+(COLUMN()-5)/2,4,4,,"PSE"),1)</f>
        <v>140.12</v>
      </c>
      <c r="J40" s="146">
        <f t="shared" ref="J40" ca="1" si="437">INDIRECT(ADDRESS(58+(COLUMN()-5)/2,1,4,,"PSE"),1)</f>
        <v>59</v>
      </c>
      <c r="K40" s="153">
        <f t="shared" ref="K40" ca="1" si="438">INDIRECT(ADDRESS(57+(COLUMN()-5)/2,4,4,,"PSE"),1)</f>
        <v>140.91</v>
      </c>
      <c r="L40" s="146">
        <f t="shared" ref="L40" ca="1" si="439">INDIRECT(ADDRESS(58+(COLUMN()-5)/2,1,4,,"PSE"),1)</f>
        <v>60</v>
      </c>
      <c r="M40" s="153">
        <f t="shared" ref="M40" ca="1" si="440">INDIRECT(ADDRESS(57+(COLUMN()-5)/2,4,4,,"PSE"),1)</f>
        <v>144.24</v>
      </c>
      <c r="N40" s="146">
        <f t="shared" ref="N40" ca="1" si="441">INDIRECT(ADDRESS(58+(COLUMN()-5)/2,1,4,,"PSE"),1)</f>
        <v>61</v>
      </c>
      <c r="O40" s="67">
        <f t="shared" ref="O40" ca="1" si="442">INDIRECT(ADDRESS(57+(COLUMN()-5)/2,4,4,,"PSE"),1)</f>
        <v>145</v>
      </c>
      <c r="P40" s="146">
        <f t="shared" ref="P40" ca="1" si="443">INDIRECT(ADDRESS(58+(COLUMN()-5)/2,1,4,,"PSE"),1)</f>
        <v>62</v>
      </c>
      <c r="Q40" s="153">
        <f t="shared" ref="Q40" ca="1" si="444">INDIRECT(ADDRESS(57+(COLUMN()-5)/2,4,4,,"PSE"),1)</f>
        <v>150.36000000000001</v>
      </c>
      <c r="R40" s="146">
        <f t="shared" ref="R40" ca="1" si="445">INDIRECT(ADDRESS(58+(COLUMN()-5)/2,1,4,,"PSE"),1)</f>
        <v>63</v>
      </c>
      <c r="S40" s="153">
        <f t="shared" ref="S40" ca="1" si="446">INDIRECT(ADDRESS(57+(COLUMN()-5)/2,4,4,,"PSE"),1)</f>
        <v>151.96</v>
      </c>
      <c r="T40" s="146">
        <f t="shared" ref="T40" ca="1" si="447">INDIRECT(ADDRESS(58+(COLUMN()-5)/2,1,4,,"PSE"),1)</f>
        <v>64</v>
      </c>
      <c r="U40" s="153">
        <f t="shared" ref="U40" ca="1" si="448">INDIRECT(ADDRESS(57+(COLUMN()-5)/2,4,4,,"PSE"),1)</f>
        <v>157.25</v>
      </c>
      <c r="V40" s="146">
        <f t="shared" ref="V40" ca="1" si="449">INDIRECT(ADDRESS(58+(COLUMN()-5)/2,1,4,,"PSE"),1)</f>
        <v>65</v>
      </c>
      <c r="W40" s="153">
        <f t="shared" ref="W40" ca="1" si="450">INDIRECT(ADDRESS(57+(COLUMN()-5)/2,4,4,,"PSE"),1)</f>
        <v>158.93</v>
      </c>
      <c r="X40" s="146">
        <f t="shared" ref="X40" ca="1" si="451">INDIRECT(ADDRESS(58+(COLUMN()-5)/2,1,4,,"PSE"),1)</f>
        <v>66</v>
      </c>
      <c r="Y40" s="67">
        <f t="shared" ref="Y40" ca="1" si="452">INDIRECT(ADDRESS(57+(COLUMN()-5)/2,4,4,,"PSE"),1)</f>
        <v>162.5</v>
      </c>
      <c r="Z40" s="146">
        <f t="shared" ref="Z40" ca="1" si="453">INDIRECT(ADDRESS(58+(COLUMN()-5)/2,1,4,,"PSE"),1)</f>
        <v>67</v>
      </c>
      <c r="AA40" s="153">
        <f t="shared" ref="AA40" ca="1" si="454">INDIRECT(ADDRESS(57+(COLUMN()-5)/2,4,4,,"PSE"),1)</f>
        <v>164.93</v>
      </c>
      <c r="AB40" s="146">
        <f t="shared" ref="AB40" ca="1" si="455">INDIRECT(ADDRESS(58+(COLUMN()-5)/2,1,4,,"PSE"),1)</f>
        <v>68</v>
      </c>
      <c r="AC40" s="153">
        <f t="shared" ref="AC40" ca="1" si="456">INDIRECT(ADDRESS(57+(COLUMN()-5)/2,4,4,,"PSE"),1)</f>
        <v>167.26</v>
      </c>
      <c r="AD40" s="146">
        <f t="shared" ref="AD40" ca="1" si="457">INDIRECT(ADDRESS(58+(COLUMN()-5)/2,1,4,,"PSE"),1)</f>
        <v>69</v>
      </c>
      <c r="AE40" s="153">
        <f t="shared" ref="AE40" ca="1" si="458">INDIRECT(ADDRESS(57+(COLUMN()-5)/2,4,4,,"PSE"),1)</f>
        <v>168.93</v>
      </c>
      <c r="AF40" s="146">
        <f t="shared" ref="AF40" ca="1" si="459">INDIRECT(ADDRESS(58+(COLUMN()-5)/2,1,4,,"PSE"),1)</f>
        <v>70</v>
      </c>
      <c r="AG40" s="149">
        <f t="shared" ref="AG40" ca="1" si="460">INDIRECT(ADDRESS(57+(COLUMN()-5)/2,4,4,,"PSE"),1)</f>
        <v>173.05</v>
      </c>
      <c r="AH40" s="146">
        <f t="shared" ref="AH40" ca="1" si="461">INDIRECT(ADDRESS(58+(COLUMN()-5)/2,1,4,,"PSE"),1)</f>
        <v>71</v>
      </c>
      <c r="AI40" s="156">
        <f t="shared" ref="AI40" ca="1" si="462">INDIRECT(ADDRESS(57+(COLUMN()-5)/2,4,4,,"PSE"),1)</f>
        <v>174.97</v>
      </c>
      <c r="AJ40" s="71"/>
      <c r="AK40" s="68"/>
      <c r="AL40" s="71"/>
    </row>
    <row r="41" spans="1:58" ht="30" customHeight="1">
      <c r="A41" s="165" t="s">
        <v>823</v>
      </c>
      <c r="C41" s="164"/>
      <c r="E41" s="2"/>
      <c r="F41" s="95" t="str">
        <f ca="1">INDIRECT(ADDRESS(58+(COLUMN()-5)/2,8,4,,"PSE"),1)</f>
        <v>6,17 g/cm³</v>
      </c>
      <c r="G41" s="13" t="str">
        <f ca="1">INDIRECT(ADDRESS(57+(COLUMN()-5)/2,2,4,,"PSE"),1)</f>
        <v>La</v>
      </c>
      <c r="H41" s="95" t="str">
        <f t="shared" ref="H41" ca="1" si="463">INDIRECT(ADDRESS(58+(COLUMN()-5)/2,8,4,,"PSE"),1)</f>
        <v>6,77 g/cm³</v>
      </c>
      <c r="I41" s="13" t="str">
        <f t="shared" ref="I41" ca="1" si="464">INDIRECT(ADDRESS(57+(COLUMN()-5)/2,2,4,,"PSE"),1)</f>
        <v>Ce</v>
      </c>
      <c r="J41" s="95" t="str">
        <f t="shared" ref="J41" ca="1" si="465">INDIRECT(ADDRESS(58+(COLUMN()-5)/2,8,4,,"PSE"),1)</f>
        <v>6,48 g/cm³</v>
      </c>
      <c r="K41" s="13" t="str">
        <f t="shared" ref="K41" ca="1" si="466">INDIRECT(ADDRESS(57+(COLUMN()-5)/2,2,4,,"PSE"),1)</f>
        <v>Pr</v>
      </c>
      <c r="L41" s="95" t="str">
        <f t="shared" ref="L41" ca="1" si="467">INDIRECT(ADDRESS(58+(COLUMN()-5)/2,8,4,,"PSE"),1)</f>
        <v>7 g/cm³</v>
      </c>
      <c r="M41" s="13" t="str">
        <f t="shared" ref="M41" ca="1" si="468">INDIRECT(ADDRESS(57+(COLUMN()-5)/2,2,4,,"PSE"),1)</f>
        <v>Nd</v>
      </c>
      <c r="N41" s="95" t="str">
        <f t="shared" ref="N41" ca="1" si="469">INDIRECT(ADDRESS(58+(COLUMN()-5)/2,8,4,,"PSE"),1)</f>
        <v>7,2 g/cm³</v>
      </c>
      <c r="O41" s="13" t="str">
        <f t="shared" ref="O41" ca="1" si="470">INDIRECT(ADDRESS(57+(COLUMN()-5)/2,2,4,,"PSE"),1)</f>
        <v>Pm</v>
      </c>
      <c r="P41" s="95" t="str">
        <f t="shared" ref="P41" ca="1" si="471">INDIRECT(ADDRESS(58+(COLUMN()-5)/2,8,4,,"PSE"),1)</f>
        <v>7,54 g/cm³</v>
      </c>
      <c r="Q41" s="13" t="str">
        <f t="shared" ref="Q41" ca="1" si="472">INDIRECT(ADDRESS(57+(COLUMN()-5)/2,2,4,,"PSE"),1)</f>
        <v>Sm</v>
      </c>
      <c r="R41" s="95" t="str">
        <f t="shared" ref="R41" ca="1" si="473">INDIRECT(ADDRESS(58+(COLUMN()-5)/2,8,4,,"PSE"),1)</f>
        <v>5,25 g/cm³</v>
      </c>
      <c r="S41" s="13" t="str">
        <f t="shared" ref="S41" ca="1" si="474">INDIRECT(ADDRESS(57+(COLUMN()-5)/2,2,4,,"PSE"),1)</f>
        <v>Eu</v>
      </c>
      <c r="T41" s="95" t="str">
        <f t="shared" ref="T41" ca="1" si="475">INDIRECT(ADDRESS(58+(COLUMN()-5)/2,8,4,,"PSE"),1)</f>
        <v>7,89 g/cm³</v>
      </c>
      <c r="U41" s="13" t="str">
        <f t="shared" ref="U41" ca="1" si="476">INDIRECT(ADDRESS(57+(COLUMN()-5)/2,2,4,,"PSE"),1)</f>
        <v>Gd</v>
      </c>
      <c r="V41" s="95" t="str">
        <f t="shared" ref="V41" ca="1" si="477">INDIRECT(ADDRESS(58+(COLUMN()-5)/2,8,4,,"PSE"),1)</f>
        <v>8,25 g/cm³</v>
      </c>
      <c r="W41" s="13" t="str">
        <f t="shared" ref="W41" ca="1" si="478">INDIRECT(ADDRESS(57+(COLUMN()-5)/2,2,4,,"PSE"),1)</f>
        <v>Tb</v>
      </c>
      <c r="X41" s="95" t="str">
        <f t="shared" ref="X41" ca="1" si="479">INDIRECT(ADDRESS(58+(COLUMN()-5)/2,8,4,,"PSE"),1)</f>
        <v>8,56 g/cm³</v>
      </c>
      <c r="Y41" s="13" t="str">
        <f t="shared" ref="Y41" ca="1" si="480">INDIRECT(ADDRESS(57+(COLUMN()-5)/2,2,4,,"PSE"),1)</f>
        <v>Dy</v>
      </c>
      <c r="Z41" s="95" t="str">
        <f t="shared" ref="Z41" ca="1" si="481">INDIRECT(ADDRESS(58+(COLUMN()-5)/2,8,4,,"PSE"),1)</f>
        <v>8,78 g/cm³</v>
      </c>
      <c r="AA41" s="13" t="str">
        <f t="shared" ref="AA41" ca="1" si="482">INDIRECT(ADDRESS(57+(COLUMN()-5)/2,2,4,,"PSE"),1)</f>
        <v>Ho</v>
      </c>
      <c r="AB41" s="95" t="str">
        <f t="shared" ref="AB41" ca="1" si="483">INDIRECT(ADDRESS(58+(COLUMN()-5)/2,8,4,,"PSE"),1)</f>
        <v>9,05 g/cm³</v>
      </c>
      <c r="AC41" s="13" t="str">
        <f t="shared" ref="AC41" ca="1" si="484">INDIRECT(ADDRESS(57+(COLUMN()-5)/2,2,4,,"PSE"),1)</f>
        <v>Er</v>
      </c>
      <c r="AD41" s="95" t="str">
        <f t="shared" ref="AD41" ca="1" si="485">INDIRECT(ADDRESS(58+(COLUMN()-5)/2,8,4,,"PSE"),1)</f>
        <v>9,32 g/cm³</v>
      </c>
      <c r="AE41" s="13" t="str">
        <f t="shared" ref="AE41" ca="1" si="486">INDIRECT(ADDRESS(57+(COLUMN()-5)/2,2,4,,"PSE"),1)</f>
        <v>Tm</v>
      </c>
      <c r="AF41" s="95" t="str">
        <f t="shared" ref="AF41" ca="1" si="487">INDIRECT(ADDRESS(58+(COLUMN()-5)/2,8,4,,"PSE"),1)</f>
        <v>6,97 g/cm³</v>
      </c>
      <c r="AG41" s="13" t="str">
        <f t="shared" ref="AG41" ca="1" si="488">INDIRECT(ADDRESS(57+(COLUMN()-5)/2,2,4,,"PSE"),1)</f>
        <v>Yb</v>
      </c>
      <c r="AH41" s="95" t="str">
        <f t="shared" ref="AH41" ca="1" si="489">INDIRECT(ADDRESS(58+(COLUMN()-5)/2,8,4,,"PSE"),1)</f>
        <v>9,84 g/cm³</v>
      </c>
      <c r="AI41" s="13" t="str">
        <f t="shared" ref="AI41" ca="1" si="490">INDIRECT(ADDRESS(57+(COLUMN()-5)/2,2,4,,"PSE"),1)</f>
        <v>Lu</v>
      </c>
      <c r="AJ41" s="78"/>
      <c r="AK41" s="3"/>
      <c r="AL41" s="78"/>
    </row>
    <row r="42" spans="1:58" s="12" customFormat="1" ht="13.9" customHeight="1">
      <c r="A42" s="161"/>
      <c r="B42" s="72"/>
      <c r="D42" s="283"/>
      <c r="F42" s="192" t="str">
        <f ca="1">INDIRECT(ADDRESS(58+(COLUMN()-5)/2,3,4,,"PSE"),1)</f>
        <v>Lanthan</v>
      </c>
      <c r="G42" s="193"/>
      <c r="H42" s="192" t="str">
        <f t="shared" ref="H42" ca="1" si="491">INDIRECT(ADDRESS(58+(COLUMN()-5)/2,3,4,,"PSE"),1)</f>
        <v>Cer</v>
      </c>
      <c r="I42" s="193"/>
      <c r="J42" s="192" t="str">
        <f t="shared" ref="J42" ca="1" si="492">INDIRECT(ADDRESS(58+(COLUMN()-5)/2,3,4,,"PSE"),1)</f>
        <v>Praseodym</v>
      </c>
      <c r="K42" s="193"/>
      <c r="L42" s="192" t="str">
        <f t="shared" ref="L42" ca="1" si="493">INDIRECT(ADDRESS(58+(COLUMN()-5)/2,3,4,,"PSE"),1)</f>
        <v>Neodym</v>
      </c>
      <c r="M42" s="193"/>
      <c r="N42" s="192" t="str">
        <f t="shared" ref="N42" ca="1" si="494">INDIRECT(ADDRESS(58+(COLUMN()-5)/2,3,4,,"PSE"),1)</f>
        <v>Promethium</v>
      </c>
      <c r="O42" s="193"/>
      <c r="P42" s="192" t="str">
        <f t="shared" ref="P42" ca="1" si="495">INDIRECT(ADDRESS(58+(COLUMN()-5)/2,3,4,,"PSE"),1)</f>
        <v>Samarium</v>
      </c>
      <c r="Q42" s="193"/>
      <c r="R42" s="192" t="str">
        <f t="shared" ref="R42" ca="1" si="496">INDIRECT(ADDRESS(58+(COLUMN()-5)/2,3,4,,"PSE"),1)</f>
        <v>Europium</v>
      </c>
      <c r="S42" s="193"/>
      <c r="T42" s="192" t="str">
        <f t="shared" ref="T42" ca="1" si="497">INDIRECT(ADDRESS(58+(COLUMN()-5)/2,3,4,,"PSE"),1)</f>
        <v>Gadolinium</v>
      </c>
      <c r="U42" s="193"/>
      <c r="V42" s="192" t="str">
        <f t="shared" ref="V42" ca="1" si="498">INDIRECT(ADDRESS(58+(COLUMN()-5)/2,3,4,,"PSE"),1)</f>
        <v>Terbium</v>
      </c>
      <c r="W42" s="193"/>
      <c r="X42" s="192" t="str">
        <f t="shared" ref="X42" ca="1" si="499">INDIRECT(ADDRESS(58+(COLUMN()-5)/2,3,4,,"PSE"),1)</f>
        <v>Dysprosium</v>
      </c>
      <c r="Y42" s="193"/>
      <c r="Z42" s="192" t="str">
        <f t="shared" ref="Z42" ca="1" si="500">INDIRECT(ADDRESS(58+(COLUMN()-5)/2,3,4,,"PSE"),1)</f>
        <v>Holmium</v>
      </c>
      <c r="AA42" s="193"/>
      <c r="AB42" s="192" t="str">
        <f t="shared" ref="AB42" ca="1" si="501">INDIRECT(ADDRESS(58+(COLUMN()-5)/2,3,4,,"PSE"),1)</f>
        <v>Erbium</v>
      </c>
      <c r="AC42" s="193"/>
      <c r="AD42" s="192" t="str">
        <f t="shared" ref="AD42" ca="1" si="502">INDIRECT(ADDRESS(58+(COLUMN()-5)/2,3,4,,"PSE"),1)</f>
        <v>Thulium</v>
      </c>
      <c r="AE42" s="193"/>
      <c r="AF42" s="192" t="str">
        <f t="shared" ref="AF42" ca="1" si="503">INDIRECT(ADDRESS(58+(COLUMN()-5)/2,3,4,,"PSE"),1)</f>
        <v>Ytterbium</v>
      </c>
      <c r="AG42" s="193"/>
      <c r="AH42" s="192" t="str">
        <f t="shared" ref="AH42" ca="1" si="504">INDIRECT(ADDRESS(58+(COLUMN()-5)/2,3,4,,"PSE"),1)</f>
        <v>Lutetium</v>
      </c>
      <c r="AI42" s="193"/>
      <c r="AJ42" s="79"/>
      <c r="AK42" s="60"/>
      <c r="AL42" s="79"/>
    </row>
    <row r="43" spans="1:58" s="12" customFormat="1" ht="15" customHeight="1">
      <c r="A43" s="161"/>
      <c r="B43" s="72"/>
      <c r="D43" s="72"/>
      <c r="F43" s="273">
        <f ca="1">INDIRECT(ADDRESS(58+(COLUMN()-5)/2,5,4,,"PSE"),1)</f>
        <v>1.1000000000000001</v>
      </c>
      <c r="G43" s="254" t="str">
        <f ca="1">INDIRECT(ADDRESS(57+(COLUMN()-5)/2,6,4,,"PSE"),1)</f>
        <v>3.470 °C</v>
      </c>
      <c r="H43" s="273">
        <f t="shared" ref="H43" ca="1" si="505">INDIRECT(ADDRESS(58+(COLUMN()-5)/2,5,4,,"PSE"),1)</f>
        <v>1.1000000000000001</v>
      </c>
      <c r="I43" s="254" t="str">
        <f t="shared" ref="I43" ca="1" si="506">INDIRECT(ADDRESS(57+(COLUMN()-5)/2,6,4,,"PSE"),1)</f>
        <v>3.470 °C</v>
      </c>
      <c r="J43" s="273">
        <f t="shared" ref="J43" ca="1" si="507">INDIRECT(ADDRESS(58+(COLUMN()-5)/2,5,4,,"PSE"),1)</f>
        <v>1.1000000000000001</v>
      </c>
      <c r="K43" s="254" t="str">
        <f t="shared" ref="K43" ca="1" si="508">INDIRECT(ADDRESS(57+(COLUMN()-5)/2,6,4,,"PSE"),1)</f>
        <v>3.130 °C</v>
      </c>
      <c r="L43" s="273">
        <f t="shared" ref="L43" ca="1" si="509">INDIRECT(ADDRESS(58+(COLUMN()-5)/2,5,4,,"PSE"),1)</f>
        <v>1.2</v>
      </c>
      <c r="M43" s="254" t="str">
        <f t="shared" ref="M43" ca="1" si="510">INDIRECT(ADDRESS(57+(COLUMN()-5)/2,6,4,,"PSE"),1)</f>
        <v>3.030 °C</v>
      </c>
      <c r="N43" s="273">
        <f t="shared" ref="N43" ca="1" si="511">INDIRECT(ADDRESS(58+(COLUMN()-5)/2,5,4,,"PSE"),1)</f>
        <v>1.1000000000000001</v>
      </c>
      <c r="O43" s="254" t="str">
        <f t="shared" ref="O43" ca="1" si="512">INDIRECT(ADDRESS(57+(COLUMN()-5)/2,6,4,,"PSE"),1)</f>
        <v>3.000 °C</v>
      </c>
      <c r="P43" s="273">
        <f t="shared" ref="P43" ca="1" si="513">INDIRECT(ADDRESS(58+(COLUMN()-5)/2,5,4,,"PSE"),1)</f>
        <v>1.2</v>
      </c>
      <c r="Q43" s="254" t="str">
        <f t="shared" ref="Q43" ca="1" si="514">INDIRECT(ADDRESS(57+(COLUMN()-5)/2,6,4,,"PSE"),1)</f>
        <v>1.900 °C</v>
      </c>
      <c r="R43" s="273">
        <f t="shared" ref="R43" ca="1" si="515">INDIRECT(ADDRESS(58+(COLUMN()-5)/2,5,4,,"PSE"),1)</f>
        <v>1.2</v>
      </c>
      <c r="S43" s="254" t="str">
        <f t="shared" ref="S43" ca="1" si="516">INDIRECT(ADDRESS(57+(COLUMN()-5)/2,6,4,,"PSE"),1)</f>
        <v>1.440 °C</v>
      </c>
      <c r="T43" s="273">
        <f t="shared" ref="T43" ca="1" si="517">INDIRECT(ADDRESS(58+(COLUMN()-5)/2,5,4,,"PSE"),1)</f>
        <v>1.2</v>
      </c>
      <c r="U43" s="254" t="str">
        <f t="shared" ref="U43" ca="1" si="518">INDIRECT(ADDRESS(57+(COLUMN()-5)/2,6,4,,"PSE"),1)</f>
        <v>3.000 °C</v>
      </c>
      <c r="V43" s="273">
        <f t="shared" ref="V43" ca="1" si="519">INDIRECT(ADDRESS(58+(COLUMN()-5)/2,5,4,,"PSE"),1)</f>
        <v>1.2</v>
      </c>
      <c r="W43" s="254" t="str">
        <f t="shared" ref="W43" ca="1" si="520">INDIRECT(ADDRESS(57+(COLUMN()-5)/2,6,4,,"PSE"),1)</f>
        <v>3.123 °C</v>
      </c>
      <c r="X43" s="273">
        <f t="shared" ref="X43" ca="1" si="521">INDIRECT(ADDRESS(58+(COLUMN()-5)/2,5,4,,"PSE"),1)</f>
        <v>1.2</v>
      </c>
      <c r="Y43" s="254" t="str">
        <f t="shared" ref="Y43" ca="1" si="522">INDIRECT(ADDRESS(57+(COLUMN()-5)/2,6,4,,"PSE"),1)</f>
        <v>2.600 °C</v>
      </c>
      <c r="Z43" s="273">
        <f t="shared" ref="Z43" ca="1" si="523">INDIRECT(ADDRESS(58+(COLUMN()-5)/2,5,4,,"PSE"),1)</f>
        <v>1.2</v>
      </c>
      <c r="AA43" s="254" t="str">
        <f t="shared" ref="AA43" ca="1" si="524">INDIRECT(ADDRESS(57+(COLUMN()-5)/2,6,4,,"PSE"),1)</f>
        <v>2.600 °C</v>
      </c>
      <c r="AB43" s="273">
        <f t="shared" ref="AB43" ca="1" si="525">INDIRECT(ADDRESS(58+(COLUMN()-5)/2,5,4,,"PSE"),1)</f>
        <v>1.2</v>
      </c>
      <c r="AC43" s="254" t="str">
        <f t="shared" ref="AC43" ca="1" si="526">INDIRECT(ADDRESS(57+(COLUMN()-5)/2,6,4,,"PSE"),1)</f>
        <v>2.900 °C</v>
      </c>
      <c r="AD43" s="273">
        <f t="shared" ref="AD43" ca="1" si="527">INDIRECT(ADDRESS(58+(COLUMN()-5)/2,5,4,,"PSE"),1)</f>
        <v>1.2</v>
      </c>
      <c r="AE43" s="254" t="str">
        <f t="shared" ref="AE43" ca="1" si="528">INDIRECT(ADDRESS(57+(COLUMN()-5)/2,6,4,,"PSE"),1)</f>
        <v>1.950 °C</v>
      </c>
      <c r="AF43" s="273">
        <f t="shared" ref="AF43" ca="1" si="529">INDIRECT(ADDRESS(58+(COLUMN()-5)/2,5,4,,"PSE"),1)</f>
        <v>1.1000000000000001</v>
      </c>
      <c r="AG43" s="254" t="str">
        <f t="shared" ref="AG43" ca="1" si="530">INDIRECT(ADDRESS(57+(COLUMN()-5)/2,6,4,,"PSE"),1)</f>
        <v>1.430 °C</v>
      </c>
      <c r="AH43" s="273">
        <f t="shared" ref="AH43" ca="1" si="531">INDIRECT(ADDRESS(58+(COLUMN()-5)/2,5,4,,"PSE"),1)</f>
        <v>1.3</v>
      </c>
      <c r="AI43" s="254" t="str">
        <f t="shared" ref="AI43" ca="1" si="532">INDIRECT(ADDRESS(57+(COLUMN()-5)/2,6,4,,"PSE"),1)</f>
        <v>3.330 °C</v>
      </c>
      <c r="AJ43" s="72"/>
      <c r="AK43" s="171"/>
      <c r="AL43" s="72"/>
    </row>
    <row r="44" spans="1:58" s="12" customFormat="1" ht="11.45" customHeight="1">
      <c r="A44" s="161"/>
      <c r="B44" s="72"/>
      <c r="D44" s="72"/>
      <c r="F44" s="77" t="str">
        <f ca="1">INDIRECT(ADDRESS(58+(COLUMN()-5)/2,13,4,,"PSE"),1)</f>
        <v>195 pm</v>
      </c>
      <c r="G44" s="172" t="str">
        <f ca="1">INDIRECT(ADDRESS(57+(COLUMN()-5)/2,7,4,,"PSE"),1)</f>
        <v>920 °C</v>
      </c>
      <c r="H44" s="77" t="str">
        <f t="shared" ref="H44" ca="1" si="533">INDIRECT(ADDRESS(58+(COLUMN()-5)/2,13,4,,"PSE"),1)</f>
        <v>185 pm</v>
      </c>
      <c r="I44" s="172" t="str">
        <f t="shared" ref="I44" ca="1" si="534">INDIRECT(ADDRESS(57+(COLUMN()-5)/2,7,4,,"PSE"),1)</f>
        <v>795 °C</v>
      </c>
      <c r="J44" s="77" t="str">
        <f t="shared" ref="J44" ca="1" si="535">INDIRECT(ADDRESS(58+(COLUMN()-5)/2,13,4,,"PSE"),1)</f>
        <v>185 pm</v>
      </c>
      <c r="K44" s="172" t="str">
        <f t="shared" ref="K44" ca="1" si="536">INDIRECT(ADDRESS(57+(COLUMN()-5)/2,7,4,,"PSE"),1)</f>
        <v>935 °C</v>
      </c>
      <c r="L44" s="77" t="str">
        <f t="shared" ref="L44" ca="1" si="537">INDIRECT(ADDRESS(58+(COLUMN()-5)/2,13,4,,"PSE"),1)</f>
        <v>185 pm</v>
      </c>
      <c r="M44" s="172" t="str">
        <f t="shared" ref="M44" ca="1" si="538">INDIRECT(ADDRESS(57+(COLUMN()-5)/2,7,4,,"PSE"),1)</f>
        <v>1.024 °C</v>
      </c>
      <c r="N44" s="77" t="str">
        <f t="shared" ref="N44" ca="1" si="539">INDIRECT(ADDRESS(58+(COLUMN()-5)/2,13,4,,"PSE"),1)</f>
        <v>185 pm</v>
      </c>
      <c r="O44" s="172" t="str">
        <f t="shared" ref="O44" ca="1" si="540">INDIRECT(ADDRESS(57+(COLUMN()-5)/2,7,4,,"PSE"),1)</f>
        <v>1.080 °C</v>
      </c>
      <c r="P44" s="77" t="str">
        <f t="shared" ref="P44" ca="1" si="541">INDIRECT(ADDRESS(58+(COLUMN()-5)/2,13,4,,"PSE"),1)</f>
        <v>185 pm</v>
      </c>
      <c r="Q44" s="172" t="str">
        <f t="shared" ref="Q44" ca="1" si="542">INDIRECT(ADDRESS(57+(COLUMN()-5)/2,7,4,,"PSE"),1)</f>
        <v>1.072 °C</v>
      </c>
      <c r="R44" s="77" t="str">
        <f t="shared" ref="R44" ca="1" si="543">INDIRECT(ADDRESS(58+(COLUMN()-5)/2,13,4,,"PSE"),1)</f>
        <v>185 pm</v>
      </c>
      <c r="S44" s="172" t="str">
        <f t="shared" ref="S44" ca="1" si="544">INDIRECT(ADDRESS(57+(COLUMN()-5)/2,7,4,,"PSE"),1)</f>
        <v>826 °C</v>
      </c>
      <c r="T44" s="77" t="str">
        <f t="shared" ref="T44" ca="1" si="545">INDIRECT(ADDRESS(58+(COLUMN()-5)/2,13,4,,"PSE"),1)</f>
        <v>188 pm</v>
      </c>
      <c r="U44" s="172" t="str">
        <f t="shared" ref="U44" ca="1" si="546">INDIRECT(ADDRESS(57+(COLUMN()-5)/2,7,4,,"PSE"),1)</f>
        <v>1.312 °C</v>
      </c>
      <c r="V44" s="77" t="str">
        <f t="shared" ref="V44" ca="1" si="547">INDIRECT(ADDRESS(58+(COLUMN()-5)/2,13,4,,"PSE"),1)</f>
        <v>175 pm</v>
      </c>
      <c r="W44" s="172" t="str">
        <f t="shared" ref="W44" ca="1" si="548">INDIRECT(ADDRESS(57+(COLUMN()-5)/2,7,4,,"PSE"),1)</f>
        <v>1.356 °C</v>
      </c>
      <c r="X44" s="77" t="str">
        <f t="shared" ref="X44" ca="1" si="549">INDIRECT(ADDRESS(58+(COLUMN()-5)/2,13,4,,"PSE"),1)</f>
        <v>175 pm</v>
      </c>
      <c r="Y44" s="172" t="str">
        <f t="shared" ref="Y44" ca="1" si="550">INDIRECT(ADDRESS(57+(COLUMN()-5)/2,7,4,,"PSE"),1)</f>
        <v>1.407 °C</v>
      </c>
      <c r="Z44" s="77" t="str">
        <f t="shared" ref="Z44" ca="1" si="551">INDIRECT(ADDRESS(58+(COLUMN()-5)/2,13,4,,"PSE"),1)</f>
        <v>175 pm</v>
      </c>
      <c r="AA44" s="172" t="str">
        <f t="shared" ref="AA44" ca="1" si="552">INDIRECT(ADDRESS(57+(COLUMN()-5)/2,7,4,,"PSE"),1)</f>
        <v>1.461 °C</v>
      </c>
      <c r="AB44" s="77" t="str">
        <f t="shared" ref="AB44" ca="1" si="553">INDIRECT(ADDRESS(58+(COLUMN()-5)/2,13,4,,"PSE"),1)</f>
        <v>175 pm</v>
      </c>
      <c r="AC44" s="172" t="str">
        <f t="shared" ref="AC44" ca="1" si="554">INDIRECT(ADDRESS(57+(COLUMN()-5)/2,7,4,,"PSE"),1)</f>
        <v>1.529 °C</v>
      </c>
      <c r="AD44" s="77" t="str">
        <f t="shared" ref="AD44" ca="1" si="555">INDIRECT(ADDRESS(58+(COLUMN()-5)/2,13,4,,"PSE"),1)</f>
        <v>175 pm</v>
      </c>
      <c r="AE44" s="172" t="str">
        <f t="shared" ref="AE44" ca="1" si="556">INDIRECT(ADDRESS(57+(COLUMN()-5)/2,7,4,,"PSE"),1)</f>
        <v>1.545 °C</v>
      </c>
      <c r="AF44" s="77" t="str">
        <f t="shared" ref="AF44" ca="1" si="557">INDIRECT(ADDRESS(58+(COLUMN()-5)/2,13,4,,"PSE"),1)</f>
        <v>175 pm</v>
      </c>
      <c r="AG44" s="172" t="str">
        <f t="shared" ref="AG44" ca="1" si="558">INDIRECT(ADDRESS(57+(COLUMN()-5)/2,7,4,,"PSE"),1)</f>
        <v>824 °C</v>
      </c>
      <c r="AH44" s="77" t="str">
        <f t="shared" ref="AH44" ca="1" si="559">INDIRECT(ADDRESS(58+(COLUMN()-5)/2,13,4,,"PSE"),1)</f>
        <v>175 pm</v>
      </c>
      <c r="AI44" s="172" t="str">
        <f t="shared" ref="AI44" ca="1" si="560">INDIRECT(ADDRESS(57+(COLUMN()-5)/2,7,4,,"PSE"),1)</f>
        <v>1.652 °C</v>
      </c>
      <c r="AJ44" s="173"/>
      <c r="AK44" s="170"/>
      <c r="AL44" s="173"/>
    </row>
    <row r="45" spans="1:58" s="12" customFormat="1" ht="18" customHeight="1">
      <c r="A45" s="161"/>
      <c r="B45" s="72"/>
      <c r="D45" s="72"/>
      <c r="F45" s="146">
        <f ca="1">INDIRECT(ADDRESS(90+(COLUMN()-5)/2,1,4,,"PSE"),1)</f>
        <v>89</v>
      </c>
      <c r="G45" s="67">
        <f ca="1">INDIRECT(ADDRESS(89+(COLUMN()-5)/2,4,4,,"PSE"),1)</f>
        <v>227</v>
      </c>
      <c r="H45" s="146">
        <f t="shared" ref="H45" ca="1" si="561">INDIRECT(ADDRESS(90+(COLUMN()-5)/2,1,4,,"PSE"),1)</f>
        <v>90</v>
      </c>
      <c r="I45" s="70">
        <f t="shared" ref="I45" ca="1" si="562">INDIRECT(ADDRESS(89+(COLUMN()-5)/2,4,4,,"PSE"),1)</f>
        <v>232.04</v>
      </c>
      <c r="J45" s="146">
        <f t="shared" ref="J45" ca="1" si="563">INDIRECT(ADDRESS(90+(COLUMN()-5)/2,1,4,,"PSE"),1)</f>
        <v>91</v>
      </c>
      <c r="K45" s="70">
        <f t="shared" ref="K45" ca="1" si="564">INDIRECT(ADDRESS(89+(COLUMN()-5)/2,4,4,,"PSE"),1)</f>
        <v>231.04</v>
      </c>
      <c r="L45" s="146">
        <f t="shared" ref="L45" ca="1" si="565">INDIRECT(ADDRESS(90+(COLUMN()-5)/2,1,4,,"PSE"),1)</f>
        <v>92</v>
      </c>
      <c r="M45" s="70">
        <f t="shared" ref="M45" ca="1" si="566">INDIRECT(ADDRESS(89+(COLUMN()-5)/2,4,4,,"PSE"),1)</f>
        <v>238.03</v>
      </c>
      <c r="N45" s="146">
        <f t="shared" ref="N45" ca="1" si="567">INDIRECT(ADDRESS(90+(COLUMN()-5)/2,1,4,,"PSE"),1)</f>
        <v>93</v>
      </c>
      <c r="O45" s="67">
        <f t="shared" ref="O45" ca="1" si="568">INDIRECT(ADDRESS(89+(COLUMN()-5)/2,4,4,,"PSE"),1)</f>
        <v>237</v>
      </c>
      <c r="P45" s="146">
        <f t="shared" ref="P45" ca="1" si="569">INDIRECT(ADDRESS(90+(COLUMN()-5)/2,1,4,,"PSE"),1)</f>
        <v>94</v>
      </c>
      <c r="Q45" s="67">
        <f t="shared" ref="Q45" ca="1" si="570">INDIRECT(ADDRESS(89+(COLUMN()-5)/2,4,4,,"PSE"),1)</f>
        <v>244</v>
      </c>
      <c r="R45" s="146">
        <f t="shared" ref="R45" ca="1" si="571">INDIRECT(ADDRESS(90+(COLUMN()-5)/2,1,4,,"PSE"),1)</f>
        <v>95</v>
      </c>
      <c r="S45" s="67">
        <f t="shared" ref="S45" ca="1" si="572">INDIRECT(ADDRESS(89+(COLUMN()-5)/2,4,4,,"PSE"),1)</f>
        <v>243</v>
      </c>
      <c r="T45" s="146">
        <f t="shared" ref="T45" ca="1" si="573">INDIRECT(ADDRESS(90+(COLUMN()-5)/2,1,4,,"PSE"),1)</f>
        <v>96</v>
      </c>
      <c r="U45" s="67">
        <f t="shared" ref="U45" ca="1" si="574">INDIRECT(ADDRESS(89+(COLUMN()-5)/2,4,4,,"PSE"),1)</f>
        <v>247</v>
      </c>
      <c r="V45" s="146">
        <f t="shared" ref="V45" ca="1" si="575">INDIRECT(ADDRESS(90+(COLUMN()-5)/2,1,4,,"PSE"),1)</f>
        <v>97</v>
      </c>
      <c r="W45" s="67">
        <f t="shared" ref="W45" ca="1" si="576">INDIRECT(ADDRESS(89+(COLUMN()-5)/2,4,4,,"PSE"),1)</f>
        <v>247</v>
      </c>
      <c r="X45" s="146">
        <f t="shared" ref="X45" ca="1" si="577">INDIRECT(ADDRESS(90+(COLUMN()-5)/2,1,4,,"PSE"),1)</f>
        <v>98</v>
      </c>
      <c r="Y45" s="67">
        <f t="shared" ref="Y45" ca="1" si="578">INDIRECT(ADDRESS(89+(COLUMN()-5)/2,4,4,,"PSE"),1)</f>
        <v>251</v>
      </c>
      <c r="Z45" s="146">
        <f t="shared" ref="Z45" ca="1" si="579">INDIRECT(ADDRESS(90+(COLUMN()-5)/2,1,4,,"PSE"),1)</f>
        <v>99</v>
      </c>
      <c r="AA45" s="67">
        <f t="shared" ref="AA45" ca="1" si="580">INDIRECT(ADDRESS(89+(COLUMN()-5)/2,4,4,,"PSE"),1)</f>
        <v>254</v>
      </c>
      <c r="AB45" s="146">
        <f t="shared" ref="AB45" ca="1" si="581">INDIRECT(ADDRESS(90+(COLUMN()-5)/2,1,4,,"PSE"),1)</f>
        <v>100</v>
      </c>
      <c r="AC45" s="67">
        <f t="shared" ref="AC45" ca="1" si="582">INDIRECT(ADDRESS(89+(COLUMN()-5)/2,4,4,,"PSE"),1)</f>
        <v>257</v>
      </c>
      <c r="AD45" s="146">
        <f t="shared" ref="AD45" ca="1" si="583">INDIRECT(ADDRESS(90+(COLUMN()-5)/2,1,4,,"PSE"),1)</f>
        <v>101</v>
      </c>
      <c r="AE45" s="67">
        <f t="shared" ref="AE45" ca="1" si="584">INDIRECT(ADDRESS(89+(COLUMN()-5)/2,4,4,,"PSE"),1)</f>
        <v>258</v>
      </c>
      <c r="AF45" s="146">
        <f t="shared" ref="AF45" ca="1" si="585">INDIRECT(ADDRESS(90+(COLUMN()-5)/2,1,4,,"PSE"),1)</f>
        <v>102</v>
      </c>
      <c r="AG45" s="67">
        <f t="shared" ref="AG45" ca="1" si="586">INDIRECT(ADDRESS(89+(COLUMN()-5)/2,4,4,,"PSE"),1)</f>
        <v>255</v>
      </c>
      <c r="AH45" s="146">
        <f t="shared" ref="AH45" ca="1" si="587">INDIRECT(ADDRESS(90+(COLUMN()-5)/2,1,4,,"PSE"),1)</f>
        <v>103</v>
      </c>
      <c r="AI45" s="67">
        <f t="shared" ref="AI45" ca="1" si="588">INDIRECT(ADDRESS(89+(COLUMN()-5)/2,4,4,,"PSE"),1)</f>
        <v>260</v>
      </c>
      <c r="AJ45" s="71"/>
      <c r="AK45" s="68"/>
      <c r="AL45" s="71"/>
    </row>
    <row r="46" spans="1:58" s="12" customFormat="1" ht="30" customHeight="1">
      <c r="A46" s="165" t="s">
        <v>824</v>
      </c>
      <c r="B46" s="72"/>
      <c r="D46" s="72"/>
      <c r="F46" s="95" t="str">
        <f ca="1">INDIRECT(ADDRESS(90+(COLUMN()-5)/2,8,4,,"PSE"),1)</f>
        <v>10,07 g/cm³</v>
      </c>
      <c r="G46" s="13" t="str">
        <f ca="1">INDIRECT(ADDRESS(89+(COLUMN()-5)/2,2,4,,"PSE"),1)</f>
        <v>Ac</v>
      </c>
      <c r="H46" s="95" t="str">
        <f t="shared" ref="H46" ca="1" si="589">INDIRECT(ADDRESS(90+(COLUMN()-5)/2,8,4,,"PSE"),1)</f>
        <v>11,72 g/cm³</v>
      </c>
      <c r="I46" s="13" t="str">
        <f t="shared" ref="I46" ca="1" si="590">INDIRECT(ADDRESS(89+(COLUMN()-5)/2,2,4,,"PSE"),1)</f>
        <v>Th</v>
      </c>
      <c r="J46" s="95" t="str">
        <f t="shared" ref="J46" ca="1" si="591">INDIRECT(ADDRESS(90+(COLUMN()-5)/2,8,4,,"PSE"),1)</f>
        <v>15,37 g/cm³</v>
      </c>
      <c r="K46" s="13" t="str">
        <f t="shared" ref="K46" ca="1" si="592">INDIRECT(ADDRESS(89+(COLUMN()-5)/2,2,4,,"PSE"),1)</f>
        <v>Pa</v>
      </c>
      <c r="L46" s="95" t="str">
        <f t="shared" ref="L46" ca="1" si="593">INDIRECT(ADDRESS(90+(COLUMN()-5)/2,8,4,,"PSE"),1)</f>
        <v>19,16 g/cm³</v>
      </c>
      <c r="M46" s="13" t="str">
        <f t="shared" ref="M46" ca="1" si="594">INDIRECT(ADDRESS(89+(COLUMN()-5)/2,2,4,,"PSE"),1)</f>
        <v>U</v>
      </c>
      <c r="N46" s="95" t="str">
        <f t="shared" ref="N46" ca="1" si="595">INDIRECT(ADDRESS(90+(COLUMN()-5)/2,8,4,,"PSE"),1)</f>
        <v>20,45 g/cm³</v>
      </c>
      <c r="O46" s="13" t="str">
        <f t="shared" ref="O46" ca="1" si="596">INDIRECT(ADDRESS(89+(COLUMN()-5)/2,2,4,,"PSE"),1)</f>
        <v>Np</v>
      </c>
      <c r="P46" s="95" t="str">
        <f t="shared" ref="P46" ca="1" si="597">INDIRECT(ADDRESS(90+(COLUMN()-5)/2,8,4,,"PSE"),1)</f>
        <v>19,82 g/cm³</v>
      </c>
      <c r="Q46" s="13" t="str">
        <f t="shared" ref="Q46" ca="1" si="598">INDIRECT(ADDRESS(89+(COLUMN()-5)/2,2,4,,"PSE"),1)</f>
        <v>Pu</v>
      </c>
      <c r="R46" s="95" t="str">
        <f t="shared" ref="R46" ca="1" si="599">INDIRECT(ADDRESS(90+(COLUMN()-5)/2,8,4,,"PSE"),1)</f>
        <v>13,67 g/cm³</v>
      </c>
      <c r="S46" s="13" t="str">
        <f t="shared" ref="S46" ca="1" si="600">INDIRECT(ADDRESS(89+(COLUMN()-5)/2,2,4,,"PSE"),1)</f>
        <v>Am</v>
      </c>
      <c r="T46" s="95" t="str">
        <f t="shared" ref="T46" ca="1" si="601">INDIRECT(ADDRESS(90+(COLUMN()-5)/2,8,4,,"PSE"),1)</f>
        <v>13,51 g/cm³</v>
      </c>
      <c r="U46" s="13" t="str">
        <f t="shared" ref="U46" ca="1" si="602">INDIRECT(ADDRESS(89+(COLUMN()-5)/2,2,4,,"PSE"),1)</f>
        <v>Cm</v>
      </c>
      <c r="V46" s="95" t="str">
        <f t="shared" ref="V46" ca="1" si="603">INDIRECT(ADDRESS(90+(COLUMN()-5)/2,8,4,,"PSE"),1)</f>
        <v>14,78 g/cm³</v>
      </c>
      <c r="W46" s="13" t="str">
        <f t="shared" ref="W46" ca="1" si="604">INDIRECT(ADDRESS(89+(COLUMN()-5)/2,2,4,,"PSE"),1)</f>
        <v>Bk</v>
      </c>
      <c r="X46" s="95" t="str">
        <f t="shared" ref="X46" ca="1" si="605">INDIRECT(ADDRESS(90+(COLUMN()-5)/2,8,4,,"PSE"),1)</f>
        <v>15,1 g/cm³</v>
      </c>
      <c r="Y46" s="13" t="str">
        <f t="shared" ref="Y46" ca="1" si="606">INDIRECT(ADDRESS(89+(COLUMN()-5)/2,2,4,,"PSE"),1)</f>
        <v>Cf</v>
      </c>
      <c r="Z46" s="95" t="str">
        <f t="shared" ref="Z46" ca="1" si="607">INDIRECT(ADDRESS(90+(COLUMN()-5)/2,8,4,,"PSE"),1)</f>
        <v>8,84 g/cm³</v>
      </c>
      <c r="AA46" s="13" t="str">
        <f t="shared" ref="AA46" ca="1" si="608">INDIRECT(ADDRESS(89+(COLUMN()-5)/2,2,4,,"PSE"),1)</f>
        <v>Es</v>
      </c>
      <c r="AB46" s="95" t="str">
        <f t="shared" ref="AB46" ca="1" si="609">INDIRECT(ADDRESS(90+(COLUMN()-5)/2,8,4,,"PSE"),1)</f>
        <v>-</v>
      </c>
      <c r="AC46" s="13" t="str">
        <f t="shared" ref="AC46" ca="1" si="610">INDIRECT(ADDRESS(89+(COLUMN()-5)/2,2,4,,"PSE"),1)</f>
        <v>Fm</v>
      </c>
      <c r="AD46" s="95" t="str">
        <f t="shared" ref="AD46" ca="1" si="611">INDIRECT(ADDRESS(90+(COLUMN()-5)/2,8,4,,"PSE"),1)</f>
        <v>-</v>
      </c>
      <c r="AE46" s="13" t="str">
        <f t="shared" ref="AE46" ca="1" si="612">INDIRECT(ADDRESS(89+(COLUMN()-5)/2,2,4,,"PSE"),1)</f>
        <v>Md</v>
      </c>
      <c r="AF46" s="95" t="str">
        <f t="shared" ref="AF46" ca="1" si="613">INDIRECT(ADDRESS(90+(COLUMN()-5)/2,8,4,,"PSE"),1)</f>
        <v>-</v>
      </c>
      <c r="AG46" s="13" t="str">
        <f t="shared" ref="AG46" ca="1" si="614">INDIRECT(ADDRESS(89+(COLUMN()-5)/2,2,4,,"PSE"),1)</f>
        <v>No</v>
      </c>
      <c r="AH46" s="95" t="str">
        <f t="shared" ref="AH46" ca="1" si="615">INDIRECT(ADDRESS(90+(COLUMN()-5)/2,8,4,,"PSE"),1)</f>
        <v>-</v>
      </c>
      <c r="AI46" s="13" t="str">
        <f t="shared" ref="AI46" ca="1" si="616">INDIRECT(ADDRESS(89+(COLUMN()-5)/2,2,4,,"PSE"),1)</f>
        <v>Lr</v>
      </c>
      <c r="AJ46" s="81"/>
      <c r="AK46" s="15"/>
      <c r="AL46" s="81"/>
    </row>
    <row r="47" spans="1:58" s="12" customFormat="1" ht="13.9" customHeight="1">
      <c r="A47" s="158"/>
      <c r="B47" s="72"/>
      <c r="D47" s="72"/>
      <c r="F47" s="192" t="str">
        <f ca="1">INDIRECT(ADDRESS(90+(COLUMN()-5)/2,3,4,,"PSE"),1)</f>
        <v>Actinium</v>
      </c>
      <c r="G47" s="193"/>
      <c r="H47" s="192" t="str">
        <f t="shared" ref="H47" ca="1" si="617">INDIRECT(ADDRESS(90+(COLUMN()-5)/2,3,4,,"PSE"),1)</f>
        <v>Thorium</v>
      </c>
      <c r="I47" s="193"/>
      <c r="J47" s="192" t="str">
        <f t="shared" ref="J47" ca="1" si="618">INDIRECT(ADDRESS(90+(COLUMN()-5)/2,3,4,,"PSE"),1)</f>
        <v>Protactinium</v>
      </c>
      <c r="K47" s="193"/>
      <c r="L47" s="192" t="str">
        <f t="shared" ref="L47" ca="1" si="619">INDIRECT(ADDRESS(90+(COLUMN()-5)/2,3,4,,"PSE"),1)</f>
        <v>Uran</v>
      </c>
      <c r="M47" s="193"/>
      <c r="N47" s="192" t="str">
        <f t="shared" ref="N47" ca="1" si="620">INDIRECT(ADDRESS(90+(COLUMN()-5)/2,3,4,,"PSE"),1)</f>
        <v>Neptunium</v>
      </c>
      <c r="O47" s="193"/>
      <c r="P47" s="192" t="str">
        <f t="shared" ref="P47" ca="1" si="621">INDIRECT(ADDRESS(90+(COLUMN()-5)/2,3,4,,"PSE"),1)</f>
        <v>Plutonium</v>
      </c>
      <c r="Q47" s="193"/>
      <c r="R47" s="192" t="str">
        <f t="shared" ref="R47" ca="1" si="622">INDIRECT(ADDRESS(90+(COLUMN()-5)/2,3,4,,"PSE"),1)</f>
        <v>Americium</v>
      </c>
      <c r="S47" s="193"/>
      <c r="T47" s="192" t="str">
        <f t="shared" ref="T47" ca="1" si="623">INDIRECT(ADDRESS(90+(COLUMN()-5)/2,3,4,,"PSE"),1)</f>
        <v>Curium</v>
      </c>
      <c r="U47" s="193"/>
      <c r="V47" s="192" t="str">
        <f t="shared" ref="V47" ca="1" si="624">INDIRECT(ADDRESS(90+(COLUMN()-5)/2,3,4,,"PSE"),1)</f>
        <v>Berkelium</v>
      </c>
      <c r="W47" s="193"/>
      <c r="X47" s="192" t="str">
        <f t="shared" ref="X47" ca="1" si="625">INDIRECT(ADDRESS(90+(COLUMN()-5)/2,3,4,,"PSE"),1)</f>
        <v>Californium</v>
      </c>
      <c r="Y47" s="193"/>
      <c r="Z47" s="192" t="str">
        <f t="shared" ref="Z47" ca="1" si="626">INDIRECT(ADDRESS(90+(COLUMN()-5)/2,3,4,,"PSE"),1)</f>
        <v>Einsteinium</v>
      </c>
      <c r="AA47" s="193"/>
      <c r="AB47" s="192" t="str">
        <f t="shared" ref="AB47" ca="1" si="627">INDIRECT(ADDRESS(90+(COLUMN()-5)/2,3,4,,"PSE"),1)</f>
        <v>Fermium</v>
      </c>
      <c r="AC47" s="193"/>
      <c r="AD47" s="192" t="str">
        <f t="shared" ref="AD47" ca="1" si="628">INDIRECT(ADDRESS(90+(COLUMN()-5)/2,3,4,,"PSE"),1)</f>
        <v>Mendelevium</v>
      </c>
      <c r="AE47" s="193"/>
      <c r="AF47" s="192" t="str">
        <f t="shared" ref="AF47" ca="1" si="629">INDIRECT(ADDRESS(90+(COLUMN()-5)/2,3,4,,"PSE"),1)</f>
        <v>Nobelium</v>
      </c>
      <c r="AG47" s="193"/>
      <c r="AH47" s="192" t="str">
        <f t="shared" ref="AH47" ca="1" si="630">INDIRECT(ADDRESS(90+(COLUMN()-5)/2,3,4,,"PSE"),1)</f>
        <v>Lawrencium</v>
      </c>
      <c r="AI47" s="193"/>
      <c r="AJ47" s="79"/>
      <c r="AK47" s="60"/>
      <c r="AL47" s="79"/>
    </row>
    <row r="48" spans="1:58" s="12" customFormat="1" ht="15" customHeight="1">
      <c r="A48" s="158"/>
      <c r="B48" s="72"/>
      <c r="D48" s="72"/>
      <c r="F48" s="273">
        <f ca="1">INDIRECT(ADDRESS(90+(COLUMN()-5)/2,5,4,,"PSE"),1)</f>
        <v>1.1000000000000001</v>
      </c>
      <c r="G48" s="254" t="str">
        <f ca="1">INDIRECT(ADDRESS(89+(COLUMN()-5)/2,6,4,,"PSE"),1)</f>
        <v>3.300 °C</v>
      </c>
      <c r="H48" s="273">
        <f t="shared" ref="H48" ca="1" si="631">INDIRECT(ADDRESS(90+(COLUMN()-5)/2,5,4,,"PSE"),1)</f>
        <v>1.3</v>
      </c>
      <c r="I48" s="254" t="str">
        <f t="shared" ref="I48" ca="1" si="632">INDIRECT(ADDRESS(89+(COLUMN()-5)/2,6,4,,"PSE"),1)</f>
        <v>4.788 °C</v>
      </c>
      <c r="J48" s="273">
        <f t="shared" ref="J48" ca="1" si="633">INDIRECT(ADDRESS(90+(COLUMN()-5)/2,5,4,,"PSE"),1)</f>
        <v>1.5</v>
      </c>
      <c r="K48" s="254" t="str">
        <f t="shared" ref="K48" ca="1" si="634">INDIRECT(ADDRESS(89+(COLUMN()-5)/2,6,4,,"PSE"),1)</f>
        <v>4.027 °C</v>
      </c>
      <c r="L48" s="273">
        <f t="shared" ref="L48" ca="1" si="635">INDIRECT(ADDRESS(90+(COLUMN()-5)/2,5,4,,"PSE"),1)</f>
        <v>1.4</v>
      </c>
      <c r="M48" s="254" t="str">
        <f t="shared" ref="M48" ca="1" si="636">INDIRECT(ADDRESS(89+(COLUMN()-5)/2,6,4,,"PSE"),1)</f>
        <v>3.930 °C</v>
      </c>
      <c r="N48" s="273">
        <f t="shared" ref="N48" ca="1" si="637">INDIRECT(ADDRESS(90+(COLUMN()-5)/2,5,4,,"PSE"),1)</f>
        <v>1.4</v>
      </c>
      <c r="O48" s="254" t="str">
        <f t="shared" ref="O48" ca="1" si="638">INDIRECT(ADDRESS(89+(COLUMN()-5)/2,6,4,,"PSE"),1)</f>
        <v>3.902 °C</v>
      </c>
      <c r="P48" s="273">
        <f t="shared" ref="P48" ca="1" si="639">INDIRECT(ADDRESS(90+(COLUMN()-5)/2,5,4,,"PSE"),1)</f>
        <v>1.3</v>
      </c>
      <c r="Q48" s="254" t="str">
        <f t="shared" ref="Q48" ca="1" si="640">INDIRECT(ADDRESS(89+(COLUMN()-5)/2,6,4,,"PSE"),1)</f>
        <v>3.230 °C</v>
      </c>
      <c r="R48" s="273">
        <f t="shared" ref="R48" ca="1" si="641">INDIRECT(ADDRESS(90+(COLUMN()-5)/2,5,4,,"PSE"),1)</f>
        <v>1.1000000000000001</v>
      </c>
      <c r="S48" s="254" t="str">
        <f t="shared" ref="S48" ca="1" si="642">INDIRECT(ADDRESS(89+(COLUMN()-5)/2,6,4,,"PSE"),1)</f>
        <v>2.607 °C</v>
      </c>
      <c r="T48" s="273">
        <f t="shared" ref="T48" ca="1" si="643">INDIRECT(ADDRESS(90+(COLUMN()-5)/2,5,4,,"PSE"),1)</f>
        <v>1.3</v>
      </c>
      <c r="U48" s="254" t="str">
        <f t="shared" ref="U48" ca="1" si="644">INDIRECT(ADDRESS(89+(COLUMN()-5)/2,6,4,,"PSE"),1)</f>
        <v>3.110 °C</v>
      </c>
      <c r="V48" s="273">
        <f t="shared" ref="V48" ca="1" si="645">INDIRECT(ADDRESS(90+(COLUMN()-5)/2,5,4,,"PSE"),1)</f>
        <v>1.3</v>
      </c>
      <c r="W48" s="254" t="str">
        <f t="shared" ref="W48" ca="1" si="646">INDIRECT(ADDRESS(89+(COLUMN()-5)/2,6,4,,"PSE"),1)</f>
        <v>2.627 °C</v>
      </c>
      <c r="X48" s="273">
        <f t="shared" ref="X48" ca="1" si="647">INDIRECT(ADDRESS(90+(COLUMN()-5)/2,5,4,,"PSE"),1)</f>
        <v>1.3</v>
      </c>
      <c r="Y48" s="254" t="str">
        <f t="shared" ref="Y48" ca="1" si="648">INDIRECT(ADDRESS(89+(COLUMN()-5)/2,6,4,,"PSE"),1)</f>
        <v>1.470 °C</v>
      </c>
      <c r="Z48" s="273">
        <f t="shared" ref="Z48" ca="1" si="649">INDIRECT(ADDRESS(90+(COLUMN()-5)/2,5,4,,"PSE"),1)</f>
        <v>1.3</v>
      </c>
      <c r="AA48" s="254" t="str">
        <f t="shared" ref="AA48" ca="1" si="650">INDIRECT(ADDRESS(89+(COLUMN()-5)/2,6,4,,"PSE"),1)</f>
        <v>996 °C</v>
      </c>
      <c r="AB48" s="273">
        <f t="shared" ref="AB48" ca="1" si="651">INDIRECT(ADDRESS(90+(COLUMN()-5)/2,5,4,,"PSE"),1)</f>
        <v>1.3</v>
      </c>
      <c r="AC48" s="254" t="str">
        <f t="shared" ref="AC48" ca="1" si="652">INDIRECT(ADDRESS(89+(COLUMN()-5)/2,6,4,,"PSE"),1)</f>
        <v>-</v>
      </c>
      <c r="AD48" s="273">
        <f t="shared" ref="AD48" ca="1" si="653">INDIRECT(ADDRESS(90+(COLUMN()-5)/2,5,4,,"PSE"),1)</f>
        <v>1.3</v>
      </c>
      <c r="AE48" s="254" t="str">
        <f t="shared" ref="AE48" ca="1" si="654">INDIRECT(ADDRESS(89+(COLUMN()-5)/2,6,4,,"PSE"),1)</f>
        <v>-</v>
      </c>
      <c r="AF48" s="273">
        <f t="shared" ref="AF48" ca="1" si="655">INDIRECT(ADDRESS(90+(COLUMN()-5)/2,5,4,,"PSE"),1)</f>
        <v>1.3</v>
      </c>
      <c r="AG48" s="254" t="str">
        <f t="shared" ref="AG48" ca="1" si="656">INDIRECT(ADDRESS(89+(COLUMN()-5)/2,6,4,,"PSE"),1)</f>
        <v>-</v>
      </c>
      <c r="AH48" s="273">
        <f t="shared" ref="AH48" ca="1" si="657">INDIRECT(ADDRESS(90+(COLUMN()-5)/2,5,4,,"PSE"),1)</f>
        <v>1.3</v>
      </c>
      <c r="AI48" s="254" t="str">
        <f t="shared" ref="AI48" ca="1" si="658">INDIRECT(ADDRESS(89+(COLUMN()-5)/2,6,4,,"PSE"),1)</f>
        <v>-</v>
      </c>
      <c r="AJ48" s="72"/>
      <c r="AK48" s="171"/>
      <c r="AL48" s="72"/>
    </row>
    <row r="49" spans="1:38" s="12" customFormat="1" ht="11.45" customHeight="1">
      <c r="A49" s="249" t="str">
        <f ca="1">CONCATENATE("Giesler, BBS Winsen (Luhe), ",TEXT(TODAY(),"TT.MM.JJJJ"))</f>
        <v>Giesler, BBS Winsen (Luhe), 17.10.2015</v>
      </c>
      <c r="B49" s="72"/>
      <c r="D49" s="72"/>
      <c r="F49" s="77" t="str">
        <f ca="1">INDIRECT(ADDRESS(90+(COLUMN()-5)/2,13,4,,"PSE"),1)</f>
        <v>195 pm</v>
      </c>
      <c r="G49" s="172" t="str">
        <f ca="1">INDIRECT(ADDRESS(89+(COLUMN()-5)/2,7,4,,"PSE"),1)</f>
        <v>1.050 °C</v>
      </c>
      <c r="H49" s="77" t="str">
        <f t="shared" ref="H49" ca="1" si="659">INDIRECT(ADDRESS(90+(COLUMN()-5)/2,13,4,,"PSE"),1)</f>
        <v>180 pm</v>
      </c>
      <c r="I49" s="172" t="str">
        <f t="shared" ref="I49" ca="1" si="660">INDIRECT(ADDRESS(89+(COLUMN()-5)/2,7,4,,"PSE"),1)</f>
        <v>1.755 °C</v>
      </c>
      <c r="J49" s="77" t="str">
        <f t="shared" ref="J49" ca="1" si="661">INDIRECT(ADDRESS(90+(COLUMN()-5)/2,13,4,,"PSE"),1)</f>
        <v>180 pm</v>
      </c>
      <c r="K49" s="172" t="str">
        <f t="shared" ref="K49" ca="1" si="662">INDIRECT(ADDRESS(89+(COLUMN()-5)/2,7,4,,"PSE"),1)</f>
        <v>1.568 °C</v>
      </c>
      <c r="L49" s="77" t="str">
        <f t="shared" ref="L49" ca="1" si="663">INDIRECT(ADDRESS(90+(COLUMN()-5)/2,13,4,,"PSE"),1)</f>
        <v>139 pm</v>
      </c>
      <c r="M49" s="172" t="str">
        <f t="shared" ref="M49" ca="1" si="664">INDIRECT(ADDRESS(89+(COLUMN()-5)/2,7,4,,"PSE"),1)</f>
        <v>1.133 °C</v>
      </c>
      <c r="N49" s="77" t="str">
        <f t="shared" ref="N49" ca="1" si="665">INDIRECT(ADDRESS(90+(COLUMN()-5)/2,13,4,,"PSE"),1)</f>
        <v>130 pm</v>
      </c>
      <c r="O49" s="172" t="str">
        <f t="shared" ref="O49" ca="1" si="666">INDIRECT(ADDRESS(89+(COLUMN()-5)/2,7,4,,"PSE"),1)</f>
        <v>639 °C</v>
      </c>
      <c r="P49" s="77" t="str">
        <f t="shared" ref="P49" ca="1" si="667">INDIRECT(ADDRESS(90+(COLUMN()-5)/2,13,4,,"PSE"),1)</f>
        <v>151 pm</v>
      </c>
      <c r="Q49" s="172" t="str">
        <f t="shared" ref="Q49" ca="1" si="668">INDIRECT(ADDRESS(89+(COLUMN()-5)/2,7,4,,"PSE"),1)</f>
        <v>639 °C</v>
      </c>
      <c r="R49" s="77" t="str">
        <f t="shared" ref="R49" ca="1" si="669">INDIRECT(ADDRESS(90+(COLUMN()-5)/2,13,4,,"PSE"),1)</f>
        <v>184 pm</v>
      </c>
      <c r="S49" s="172" t="str">
        <f t="shared" ref="S49" ca="1" si="670">INDIRECT(ADDRESS(89+(COLUMN()-5)/2,7,4,,"PSE"),1)</f>
        <v>1.176 °C</v>
      </c>
      <c r="T49" s="77" t="str">
        <f t="shared" ref="T49" ca="1" si="671">INDIRECT(ADDRESS(90+(COLUMN()-5)/2,13,4,,"PSE"),1)</f>
        <v>174 pm</v>
      </c>
      <c r="U49" s="172" t="str">
        <f t="shared" ref="U49" ca="1" si="672">INDIRECT(ADDRESS(89+(COLUMN()-5)/2,7,4,,"PSE"),1)</f>
        <v>1.340 °C</v>
      </c>
      <c r="V49" s="77" t="str">
        <f t="shared" ref="V49" ca="1" si="673">INDIRECT(ADDRESS(90+(COLUMN()-5)/2,13,4,,"PSE"),1)</f>
        <v>170 pm</v>
      </c>
      <c r="W49" s="172" t="str">
        <f t="shared" ref="W49" ca="1" si="674">INDIRECT(ADDRESS(89+(COLUMN()-5)/2,7,4,,"PSE"),1)</f>
        <v>986 °C</v>
      </c>
      <c r="X49" s="77" t="str">
        <f t="shared" ref="X49" ca="1" si="675">INDIRECT(ADDRESS(90+(COLUMN()-5)/2,13,4,,"PSE"),1)</f>
        <v>186 pm</v>
      </c>
      <c r="Y49" s="172" t="str">
        <f t="shared" ref="Y49" ca="1" si="676">INDIRECT(ADDRESS(89+(COLUMN()-5)/2,7,4,,"PSE"),1)</f>
        <v>900 °C</v>
      </c>
      <c r="Z49" s="77" t="str">
        <f t="shared" ref="Z49" ca="1" si="677">INDIRECT(ADDRESS(90+(COLUMN()-5)/2,13,4,,"PSE"),1)</f>
        <v>203 pm</v>
      </c>
      <c r="AA49" s="172" t="str">
        <f t="shared" ref="AA49" ca="1" si="678">INDIRECT(ADDRESS(89+(COLUMN()-5)/2,7,4,,"PSE"),1)</f>
        <v>860 °C</v>
      </c>
      <c r="AB49" s="77" t="str">
        <f t="shared" ref="AB49" ca="1" si="679">INDIRECT(ADDRESS(90+(COLUMN()-5)/2,13,4,,"PSE"),1)</f>
        <v>-</v>
      </c>
      <c r="AC49" s="172" t="str">
        <f t="shared" ref="AC49" ca="1" si="680">INDIRECT(ADDRESS(89+(COLUMN()-5)/2,7,4,,"PSE"),1)</f>
        <v>852 °C</v>
      </c>
      <c r="AD49" s="77" t="str">
        <f t="shared" ref="AD49" ca="1" si="681">INDIRECT(ADDRESS(90+(COLUMN()-5)/2,13,4,,"PSE"),1)</f>
        <v>-</v>
      </c>
      <c r="AE49" s="172" t="str">
        <f t="shared" ref="AE49" ca="1" si="682">INDIRECT(ADDRESS(89+(COLUMN()-5)/2,7,4,,"PSE"),1)</f>
        <v>-</v>
      </c>
      <c r="AF49" s="77" t="str">
        <f t="shared" ref="AF49" ca="1" si="683">INDIRECT(ADDRESS(90+(COLUMN()-5)/2,13,4,,"PSE"),1)</f>
        <v>-</v>
      </c>
      <c r="AG49" s="172" t="str">
        <f t="shared" ref="AG49" ca="1" si="684">INDIRECT(ADDRESS(89+(COLUMN()-5)/2,7,4,,"PSE"),1)</f>
        <v>-</v>
      </c>
      <c r="AH49" s="77" t="str">
        <f t="shared" ref="AH49" ca="1" si="685">INDIRECT(ADDRESS(90+(COLUMN()-5)/2,13,4,,"PSE"),1)</f>
        <v>-</v>
      </c>
      <c r="AI49" s="172" t="str">
        <f t="shared" ref="AI49" ca="1" si="686">INDIRECT(ADDRESS(89+(COLUMN()-5)/2,7,4,,"PSE"),1)</f>
        <v>-</v>
      </c>
      <c r="AJ49" s="173"/>
      <c r="AK49" s="170"/>
      <c r="AL49" s="173"/>
    </row>
    <row r="52" spans="1:38">
      <c r="G52" s="42"/>
    </row>
  </sheetData>
  <mergeCells count="165">
    <mergeCell ref="AH42:AI42"/>
    <mergeCell ref="AH47:AI47"/>
    <mergeCell ref="F28:G28"/>
    <mergeCell ref="F33:G33"/>
    <mergeCell ref="F29:G29"/>
    <mergeCell ref="F34:G34"/>
    <mergeCell ref="H42:I42"/>
    <mergeCell ref="AH15:AI15"/>
    <mergeCell ref="AF7:AG7"/>
    <mergeCell ref="AD7:AE7"/>
    <mergeCell ref="AB7:AC7"/>
    <mergeCell ref="AD10:AE10"/>
    <mergeCell ref="AF10:AG10"/>
    <mergeCell ref="AB10:AC10"/>
    <mergeCell ref="AD15:AE15"/>
    <mergeCell ref="J35:K35"/>
    <mergeCell ref="Z35:AA35"/>
    <mergeCell ref="AB35:AC35"/>
    <mergeCell ref="AD35:AE35"/>
    <mergeCell ref="V35:W35"/>
    <mergeCell ref="F47:G47"/>
    <mergeCell ref="H47:I47"/>
    <mergeCell ref="P47:Q47"/>
    <mergeCell ref="R47:S47"/>
    <mergeCell ref="B4:C4"/>
    <mergeCell ref="Z15:AA15"/>
    <mergeCell ref="L10:M10"/>
    <mergeCell ref="B7:C7"/>
    <mergeCell ref="D7:E7"/>
    <mergeCell ref="R8:S9"/>
    <mergeCell ref="R10:S12"/>
    <mergeCell ref="T8:U9"/>
    <mergeCell ref="Z7:AA7"/>
    <mergeCell ref="Z5:AE6"/>
    <mergeCell ref="V8:W9"/>
    <mergeCell ref="Z10:AA10"/>
    <mergeCell ref="L13:M13"/>
    <mergeCell ref="V10:W12"/>
    <mergeCell ref="N9:Q9"/>
    <mergeCell ref="I9:K9"/>
    <mergeCell ref="AB15:AC15"/>
    <mergeCell ref="J5:T7"/>
    <mergeCell ref="AF30:AG30"/>
    <mergeCell ref="AD30:AE30"/>
    <mergeCell ref="Z30:AA30"/>
    <mergeCell ref="P30:Q30"/>
    <mergeCell ref="AB30:AC30"/>
    <mergeCell ref="R30:S30"/>
    <mergeCell ref="T30:U30"/>
    <mergeCell ref="V30:W30"/>
    <mergeCell ref="F2:X3"/>
    <mergeCell ref="J47:K47"/>
    <mergeCell ref="T47:U47"/>
    <mergeCell ref="F35:G35"/>
    <mergeCell ref="B10:C10"/>
    <mergeCell ref="D10:E10"/>
    <mergeCell ref="B15:C15"/>
    <mergeCell ref="D15:E15"/>
    <mergeCell ref="B20:C20"/>
    <mergeCell ref="D20:E20"/>
    <mergeCell ref="F20:G20"/>
    <mergeCell ref="D25:E25"/>
    <mergeCell ref="B25:C25"/>
    <mergeCell ref="L42:M42"/>
    <mergeCell ref="J42:K42"/>
    <mergeCell ref="N47:O47"/>
    <mergeCell ref="L47:M47"/>
    <mergeCell ref="R35:S35"/>
    <mergeCell ref="T35:U35"/>
    <mergeCell ref="F25:G25"/>
    <mergeCell ref="J25:K25"/>
    <mergeCell ref="F42:G42"/>
    <mergeCell ref="G14:I14"/>
    <mergeCell ref="B38:C38"/>
    <mergeCell ref="B30:C30"/>
    <mergeCell ref="AD42:AE42"/>
    <mergeCell ref="AB42:AC42"/>
    <mergeCell ref="Z42:AA42"/>
    <mergeCell ref="X42:Y42"/>
    <mergeCell ref="V42:W42"/>
    <mergeCell ref="T42:U42"/>
    <mergeCell ref="P42:Q42"/>
    <mergeCell ref="N42:O42"/>
    <mergeCell ref="R42:S42"/>
    <mergeCell ref="AD47:AE47"/>
    <mergeCell ref="AF47:AG47"/>
    <mergeCell ref="V47:W47"/>
    <mergeCell ref="X47:Y47"/>
    <mergeCell ref="Z47:AA47"/>
    <mergeCell ref="AB47:AC47"/>
    <mergeCell ref="M17:O17"/>
    <mergeCell ref="X30:Y30"/>
    <mergeCell ref="Z20:AA20"/>
    <mergeCell ref="N30:O30"/>
    <mergeCell ref="AF42:AG42"/>
    <mergeCell ref="X25:Y25"/>
    <mergeCell ref="N25:O25"/>
    <mergeCell ref="L30:M30"/>
    <mergeCell ref="L25:M25"/>
    <mergeCell ref="AF35:AG35"/>
    <mergeCell ref="R25:S25"/>
    <mergeCell ref="P25:Q25"/>
    <mergeCell ref="V25:W25"/>
    <mergeCell ref="T25:U25"/>
    <mergeCell ref="X35:Y35"/>
    <mergeCell ref="Z34:AA34"/>
    <mergeCell ref="AD34:AE34"/>
    <mergeCell ref="AB25:AC25"/>
    <mergeCell ref="AJ1:AK1"/>
    <mergeCell ref="F30:G30"/>
    <mergeCell ref="N16:O16"/>
    <mergeCell ref="P16:Q16"/>
    <mergeCell ref="R16:S16"/>
    <mergeCell ref="T16:U16"/>
    <mergeCell ref="V16:W16"/>
    <mergeCell ref="X16:Y16"/>
    <mergeCell ref="AH25:AI25"/>
    <mergeCell ref="F16:G16"/>
    <mergeCell ref="H16:I16"/>
    <mergeCell ref="J16:K16"/>
    <mergeCell ref="L16:M16"/>
    <mergeCell ref="H20:I20"/>
    <mergeCell ref="J20:K20"/>
    <mergeCell ref="L20:M20"/>
    <mergeCell ref="N20:O20"/>
    <mergeCell ref="H25:I25"/>
    <mergeCell ref="H30:I30"/>
    <mergeCell ref="AH30:AI30"/>
    <mergeCell ref="Z25:AA25"/>
    <mergeCell ref="AF15:AG15"/>
    <mergeCell ref="AH7:AI7"/>
    <mergeCell ref="AH10:AI10"/>
    <mergeCell ref="AJ4:AK4"/>
    <mergeCell ref="AJ7:AK7"/>
    <mergeCell ref="AJ10:AK10"/>
    <mergeCell ref="AJ15:AK15"/>
    <mergeCell ref="AJ20:AK20"/>
    <mergeCell ref="AJ25:AK25"/>
    <mergeCell ref="AJ30:AK30"/>
    <mergeCell ref="AJ34:AK34"/>
    <mergeCell ref="AJ35:AK35"/>
    <mergeCell ref="B35:C35"/>
    <mergeCell ref="D35:E35"/>
    <mergeCell ref="H35:I35"/>
    <mergeCell ref="L35:M35"/>
    <mergeCell ref="N35:O35"/>
    <mergeCell ref="P35:Q35"/>
    <mergeCell ref="D38:E38"/>
    <mergeCell ref="AF6:AG6"/>
    <mergeCell ref="AH6:AI6"/>
    <mergeCell ref="AH34:AI34"/>
    <mergeCell ref="AH35:AI35"/>
    <mergeCell ref="J30:K30"/>
    <mergeCell ref="D30:E30"/>
    <mergeCell ref="AH20:AI20"/>
    <mergeCell ref="P20:Q20"/>
    <mergeCell ref="R20:S20"/>
    <mergeCell ref="T20:U20"/>
    <mergeCell ref="V20:W20"/>
    <mergeCell ref="AB20:AC20"/>
    <mergeCell ref="AD20:AE20"/>
    <mergeCell ref="AF20:AG20"/>
    <mergeCell ref="X20:Y20"/>
    <mergeCell ref="AF25:AG25"/>
    <mergeCell ref="AD25:AE25"/>
  </mergeCells>
  <phoneticPr fontId="0" type="noConversion"/>
  <printOptions horizontalCentered="1"/>
  <pageMargins left="0" right="0" top="0.59055118110236227" bottom="3.937007874015748E-2" header="0.59055118110236227" footer="3.937007874015748E-2"/>
  <pageSetup paperSize="9" scale="61" fitToHeight="0" orientation="landscape" r:id="rId1"/>
  <headerFooter scaleWithDoc="0" alignWithMargins="0"/>
  <drawing r:id="rId2"/>
</worksheet>
</file>

<file path=xl/worksheets/sheet3.xml><?xml version="1.0" encoding="utf-8"?>
<worksheet xmlns="http://schemas.openxmlformats.org/spreadsheetml/2006/main" xmlns:r="http://schemas.openxmlformats.org/officeDocument/2006/relationships">
  <sheetPr codeName="Tabelle11"/>
  <dimension ref="A1:AK113"/>
  <sheetViews>
    <sheetView tabSelected="1" zoomScale="200" zoomScaleNormal="200" zoomScalePageLayoutView="200" workbookViewId="0">
      <selection activeCell="A45" sqref="A45:XFD45"/>
    </sheetView>
  </sheetViews>
  <sheetFormatPr baseColWidth="10" defaultColWidth="10.875" defaultRowHeight="12.75"/>
  <cols>
    <col min="1" max="1" width="3.375" style="6" customWidth="1"/>
    <col min="2" max="2" width="10.75" style="4" customWidth="1"/>
    <col min="3" max="3" width="5.75" style="4" customWidth="1"/>
    <col min="4" max="4" width="3.375" style="5" customWidth="1"/>
    <col min="5" max="6" width="10.75" style="5" customWidth="1"/>
    <col min="7" max="8" width="3.375" style="5" customWidth="1"/>
    <col min="9" max="9" width="5.75" style="5" customWidth="1"/>
    <col min="10" max="11" width="3.375" style="5" customWidth="1"/>
    <col min="12" max="12" width="10.875" style="5"/>
    <col min="13" max="13" width="6.75" style="5" customWidth="1"/>
    <col min="14" max="14" width="10.875" style="5"/>
    <col min="15" max="15" width="6.75" style="5" customWidth="1"/>
    <col min="16" max="16" width="10.875" style="5"/>
    <col min="17" max="17" width="6.75" style="5" customWidth="1"/>
    <col min="18" max="18" width="10.875" style="5"/>
    <col min="19" max="19" width="6.75" style="5" customWidth="1"/>
    <col min="20" max="20" width="10.875" style="5"/>
    <col min="21" max="21" width="6.75" style="5" customWidth="1"/>
    <col min="22" max="22" width="10.875" style="5"/>
    <col min="23" max="23" width="6.75" style="5" customWidth="1"/>
    <col min="24" max="24" width="10.875" style="5"/>
    <col min="25" max="25" width="6.75" style="5" customWidth="1"/>
    <col min="26" max="26" width="10.875" style="5"/>
    <col min="27" max="27" width="6.75" style="5" customWidth="1"/>
    <col min="28" max="28" width="10.875" style="5"/>
    <col min="29" max="29" width="6.75" style="5" customWidth="1"/>
    <col min="30" max="30" width="10.875" style="5"/>
    <col min="31" max="31" width="6.75" style="5" customWidth="1"/>
    <col min="32" max="32" width="10.875" style="5"/>
    <col min="33" max="33" width="6.75" style="5" customWidth="1"/>
    <col min="34" max="34" width="10.875" style="5"/>
    <col min="35" max="35" width="6.75" style="5" customWidth="1"/>
    <col min="36" max="36" width="10.875" style="5"/>
    <col min="37" max="37" width="6.75" style="5" customWidth="1"/>
    <col min="38" max="16384" width="10.875" style="5"/>
  </cols>
  <sheetData>
    <row r="1" spans="1:37" s="44" customFormat="1" ht="18" customHeight="1">
      <c r="A1" s="245" t="s">
        <v>552</v>
      </c>
      <c r="B1" s="246"/>
      <c r="C1" s="246"/>
      <c r="D1" s="246"/>
      <c r="E1" s="246"/>
      <c r="F1" s="246"/>
      <c r="G1" s="246"/>
      <c r="H1" s="246"/>
      <c r="I1" s="246"/>
      <c r="J1" s="246"/>
      <c r="K1" s="246"/>
    </row>
    <row r="2" spans="1:37" s="45" customFormat="1" ht="15" customHeight="1">
      <c r="A2" s="247" t="s">
        <v>553</v>
      </c>
      <c r="B2" s="248"/>
      <c r="C2" s="248"/>
      <c r="D2" s="248"/>
      <c r="E2" s="248"/>
      <c r="G2" s="247" t="s">
        <v>554</v>
      </c>
      <c r="H2" s="248"/>
      <c r="I2" s="248"/>
      <c r="J2" s="248"/>
      <c r="K2" s="248"/>
    </row>
    <row r="3" spans="1:37" ht="13.5" customHeight="1">
      <c r="A3" s="181">
        <v>89</v>
      </c>
      <c r="B3" s="186" t="s">
        <v>555</v>
      </c>
      <c r="C3" s="46"/>
      <c r="D3" s="181">
        <v>109</v>
      </c>
      <c r="E3" s="46" t="s">
        <v>579</v>
      </c>
      <c r="F3" s="46"/>
      <c r="G3" s="185">
        <v>89</v>
      </c>
      <c r="H3" s="101" t="s">
        <v>399</v>
      </c>
      <c r="I3" s="43"/>
      <c r="J3" s="185">
        <v>12</v>
      </c>
      <c r="K3" s="43" t="s">
        <v>912</v>
      </c>
    </row>
    <row r="4" spans="1:37" ht="13.5" customHeight="1">
      <c r="A4" s="182">
        <v>13</v>
      </c>
      <c r="B4" s="46" t="s">
        <v>917</v>
      </c>
      <c r="C4" s="46"/>
      <c r="D4" s="182">
        <v>101</v>
      </c>
      <c r="E4" s="46" t="s">
        <v>424</v>
      </c>
      <c r="F4" s="46"/>
      <c r="G4" s="183">
        <v>47</v>
      </c>
      <c r="H4" s="43" t="s">
        <v>102</v>
      </c>
      <c r="I4" s="43"/>
      <c r="J4" s="183">
        <v>25</v>
      </c>
      <c r="K4" s="43" t="s">
        <v>33</v>
      </c>
    </row>
    <row r="5" spans="1:37" s="45" customFormat="1" ht="15" customHeight="1">
      <c r="A5" s="265">
        <v>95</v>
      </c>
      <c r="B5" s="266" t="s">
        <v>412</v>
      </c>
      <c r="C5" s="266"/>
      <c r="D5" s="265">
        <v>42</v>
      </c>
      <c r="E5" s="266" t="s">
        <v>87</v>
      </c>
      <c r="F5" s="266"/>
      <c r="G5" s="270">
        <v>13</v>
      </c>
      <c r="H5" s="269" t="s">
        <v>916</v>
      </c>
      <c r="I5" s="269"/>
      <c r="J5" s="270">
        <v>42</v>
      </c>
      <c r="K5" s="269" t="s">
        <v>86</v>
      </c>
    </row>
    <row r="6" spans="1:37" ht="13.5" customHeight="1">
      <c r="A6" s="182">
        <v>51</v>
      </c>
      <c r="B6" s="46" t="s">
        <v>115</v>
      </c>
      <c r="C6" s="46"/>
      <c r="D6" s="181">
        <v>11</v>
      </c>
      <c r="E6" s="186" t="s">
        <v>571</v>
      </c>
      <c r="F6" s="46"/>
      <c r="G6" s="183">
        <v>95</v>
      </c>
      <c r="H6" s="43" t="s">
        <v>411</v>
      </c>
      <c r="I6" s="43"/>
      <c r="J6" s="183">
        <v>109</v>
      </c>
      <c r="K6" s="43" t="s">
        <v>437</v>
      </c>
    </row>
    <row r="7" spans="1:37" ht="13.5" customHeight="1">
      <c r="A7" s="182">
        <v>18</v>
      </c>
      <c r="B7" s="46" t="s">
        <v>10</v>
      </c>
      <c r="C7" s="46"/>
      <c r="D7" s="182">
        <v>60</v>
      </c>
      <c r="E7" s="46" t="s">
        <v>316</v>
      </c>
      <c r="F7" s="46"/>
      <c r="G7" s="183">
        <v>18</v>
      </c>
      <c r="H7" s="43" t="s">
        <v>9</v>
      </c>
      <c r="I7" s="43"/>
      <c r="J7" s="185">
        <v>7</v>
      </c>
      <c r="K7" s="101" t="s">
        <v>897</v>
      </c>
      <c r="Z7" s="144"/>
      <c r="AA7" s="145"/>
      <c r="AB7" s="144"/>
      <c r="AC7" s="145"/>
      <c r="AD7" s="144"/>
      <c r="AE7" s="145"/>
      <c r="AF7" s="144"/>
      <c r="AG7" s="145"/>
      <c r="AH7" s="144"/>
      <c r="AI7" s="145"/>
      <c r="AJ7" s="144"/>
      <c r="AK7" s="145"/>
    </row>
    <row r="8" spans="1:37" ht="13.5" customHeight="1">
      <c r="A8" s="182">
        <v>33</v>
      </c>
      <c r="B8" s="46" t="s">
        <v>59</v>
      </c>
      <c r="C8" s="46"/>
      <c r="D8" s="182">
        <v>10</v>
      </c>
      <c r="E8" s="46" t="s">
        <v>907</v>
      </c>
      <c r="F8" s="46"/>
      <c r="G8" s="183">
        <v>33</v>
      </c>
      <c r="H8" s="43" t="s">
        <v>58</v>
      </c>
      <c r="I8" s="43"/>
      <c r="J8" s="183">
        <v>11</v>
      </c>
      <c r="K8" s="43" t="s">
        <v>908</v>
      </c>
    </row>
    <row r="9" spans="1:37" ht="13.5" customHeight="1">
      <c r="A9" s="182">
        <v>85</v>
      </c>
      <c r="B9" s="46" t="s">
        <v>392</v>
      </c>
      <c r="C9" s="46"/>
      <c r="D9" s="182">
        <v>93</v>
      </c>
      <c r="E9" s="46" t="s">
        <v>408</v>
      </c>
      <c r="F9" s="46"/>
      <c r="G9" s="183">
        <v>85</v>
      </c>
      <c r="H9" s="43" t="s">
        <v>391</v>
      </c>
      <c r="I9" s="43"/>
      <c r="J9" s="183">
        <v>41</v>
      </c>
      <c r="K9" s="43" t="s">
        <v>83</v>
      </c>
    </row>
    <row r="10" spans="1:37" ht="13.5" customHeight="1">
      <c r="A10" s="181">
        <v>56</v>
      </c>
      <c r="B10" s="186" t="s">
        <v>557</v>
      </c>
      <c r="C10" s="46"/>
      <c r="D10" s="182">
        <v>28</v>
      </c>
      <c r="E10" s="46" t="s">
        <v>43</v>
      </c>
      <c r="F10" s="46"/>
      <c r="G10" s="183">
        <v>79</v>
      </c>
      <c r="H10" s="43" t="s">
        <v>373</v>
      </c>
      <c r="I10" s="43"/>
      <c r="J10" s="183">
        <v>60</v>
      </c>
      <c r="K10" s="43" t="s">
        <v>315</v>
      </c>
    </row>
    <row r="11" spans="1:37" s="45" customFormat="1" ht="15" customHeight="1">
      <c r="A11" s="265">
        <v>97</v>
      </c>
      <c r="B11" s="265" t="s">
        <v>416</v>
      </c>
      <c r="C11" s="266"/>
      <c r="D11" s="252">
        <v>41</v>
      </c>
      <c r="E11" s="266" t="s">
        <v>84</v>
      </c>
      <c r="F11" s="266"/>
      <c r="G11" s="267">
        <v>5</v>
      </c>
      <c r="H11" s="268" t="s">
        <v>889</v>
      </c>
      <c r="I11" s="269"/>
      <c r="J11" s="270">
        <v>10</v>
      </c>
      <c r="K11" s="269" t="s">
        <v>906</v>
      </c>
    </row>
    <row r="12" spans="1:37" ht="13.5" customHeight="1">
      <c r="A12" s="182">
        <v>4</v>
      </c>
      <c r="B12" s="46" t="s">
        <v>885</v>
      </c>
      <c r="C12" s="46"/>
      <c r="D12" s="182">
        <v>102</v>
      </c>
      <c r="E12" s="46" t="s">
        <v>426</v>
      </c>
      <c r="F12" s="46"/>
      <c r="G12" s="183">
        <v>56</v>
      </c>
      <c r="H12" s="43" t="s">
        <v>129</v>
      </c>
      <c r="I12" s="43"/>
      <c r="J12" s="183">
        <v>28</v>
      </c>
      <c r="K12" s="43" t="s">
        <v>42</v>
      </c>
    </row>
    <row r="13" spans="1:37" ht="13.5" customHeight="1">
      <c r="A13" s="182">
        <v>83</v>
      </c>
      <c r="B13" s="46" t="s">
        <v>386</v>
      </c>
      <c r="C13" s="46"/>
      <c r="D13" s="181">
        <v>76</v>
      </c>
      <c r="E13" s="186" t="s">
        <v>1319</v>
      </c>
      <c r="F13" s="46"/>
      <c r="G13" s="183">
        <v>4</v>
      </c>
      <c r="H13" s="43" t="s">
        <v>884</v>
      </c>
      <c r="I13" s="43"/>
      <c r="J13" s="183">
        <v>102</v>
      </c>
      <c r="K13" s="43" t="s">
        <v>425</v>
      </c>
    </row>
    <row r="14" spans="1:37" ht="13.5" customHeight="1">
      <c r="A14" s="182">
        <v>82</v>
      </c>
      <c r="B14" s="46" t="s">
        <v>384</v>
      </c>
      <c r="C14" s="46"/>
      <c r="D14" s="181">
        <v>46</v>
      </c>
      <c r="E14" s="186" t="s">
        <v>556</v>
      </c>
      <c r="F14" s="46"/>
      <c r="G14" s="183">
        <v>107</v>
      </c>
      <c r="H14" s="43" t="s">
        <v>435</v>
      </c>
      <c r="I14" s="43"/>
      <c r="J14" s="183">
        <v>93</v>
      </c>
      <c r="K14" s="43" t="s">
        <v>407</v>
      </c>
    </row>
    <row r="15" spans="1:37" ht="13.5" customHeight="1">
      <c r="A15" s="182">
        <v>107</v>
      </c>
      <c r="B15" s="46" t="s">
        <v>577</v>
      </c>
      <c r="C15" s="46"/>
      <c r="D15" s="182">
        <v>15</v>
      </c>
      <c r="E15" s="46" t="s">
        <v>925</v>
      </c>
      <c r="F15" s="46"/>
      <c r="G15" s="183">
        <v>83</v>
      </c>
      <c r="H15" s="43" t="s">
        <v>385</v>
      </c>
      <c r="I15" s="43"/>
      <c r="J15" s="185">
        <v>8</v>
      </c>
      <c r="K15" s="101" t="s">
        <v>900</v>
      </c>
    </row>
    <row r="16" spans="1:37" s="45" customFormat="1" ht="15" customHeight="1">
      <c r="A16" s="265">
        <v>5</v>
      </c>
      <c r="B16" s="266" t="s">
        <v>890</v>
      </c>
      <c r="C16" s="266"/>
      <c r="D16" s="265">
        <v>78</v>
      </c>
      <c r="E16" s="266" t="s">
        <v>371</v>
      </c>
      <c r="F16" s="266"/>
      <c r="G16" s="270">
        <v>97</v>
      </c>
      <c r="H16" s="269" t="s">
        <v>415</v>
      </c>
      <c r="I16" s="269"/>
      <c r="J16" s="270">
        <v>76</v>
      </c>
      <c r="K16" s="269" t="s">
        <v>364</v>
      </c>
    </row>
    <row r="17" spans="1:11" ht="13.5" customHeight="1">
      <c r="A17" s="182">
        <v>35</v>
      </c>
      <c r="B17" s="46" t="s">
        <v>65</v>
      </c>
      <c r="C17" s="46"/>
      <c r="D17" s="182">
        <v>94</v>
      </c>
      <c r="E17" s="46" t="s">
        <v>410</v>
      </c>
      <c r="F17" s="46"/>
      <c r="G17" s="183">
        <v>35</v>
      </c>
      <c r="H17" s="43" t="s">
        <v>64</v>
      </c>
      <c r="I17" s="43"/>
      <c r="J17" s="185">
        <v>15</v>
      </c>
      <c r="K17" s="101" t="s">
        <v>924</v>
      </c>
    </row>
    <row r="18" spans="1:11" ht="13.5" customHeight="1">
      <c r="A18" s="181">
        <v>48</v>
      </c>
      <c r="B18" s="186" t="s">
        <v>558</v>
      </c>
      <c r="C18" s="46"/>
      <c r="D18" s="182">
        <v>84</v>
      </c>
      <c r="E18" s="46" t="s">
        <v>390</v>
      </c>
      <c r="F18" s="46"/>
      <c r="G18" s="185">
        <v>6</v>
      </c>
      <c r="H18" s="101" t="s">
        <v>893</v>
      </c>
      <c r="I18" s="43"/>
      <c r="J18" s="183">
        <v>91</v>
      </c>
      <c r="K18" s="43" t="s">
        <v>403</v>
      </c>
    </row>
    <row r="19" spans="1:11" ht="13.5" customHeight="1">
      <c r="A19" s="182">
        <v>20</v>
      </c>
      <c r="B19" s="46" t="s">
        <v>16</v>
      </c>
      <c r="C19" s="46"/>
      <c r="D19" s="182">
        <v>59</v>
      </c>
      <c r="E19" s="46" t="s">
        <v>312</v>
      </c>
      <c r="F19" s="46"/>
      <c r="G19" s="183">
        <v>20</v>
      </c>
      <c r="H19" s="43" t="s">
        <v>15</v>
      </c>
      <c r="I19" s="43"/>
      <c r="J19" s="183">
        <v>82</v>
      </c>
      <c r="K19" s="43" t="s">
        <v>383</v>
      </c>
    </row>
    <row r="20" spans="1:11" ht="13.5" customHeight="1">
      <c r="A20" s="182">
        <v>98</v>
      </c>
      <c r="B20" s="46" t="s">
        <v>418</v>
      </c>
      <c r="C20" s="46"/>
      <c r="D20" s="182">
        <v>61</v>
      </c>
      <c r="E20" s="46" t="s">
        <v>319</v>
      </c>
      <c r="F20" s="46"/>
      <c r="G20" s="183">
        <v>48</v>
      </c>
      <c r="H20" s="43" t="s">
        <v>105</v>
      </c>
      <c r="I20" s="43"/>
      <c r="J20" s="183">
        <v>46</v>
      </c>
      <c r="K20" s="43" t="s">
        <v>99</v>
      </c>
    </row>
    <row r="21" spans="1:11" s="45" customFormat="1" ht="15" customHeight="1">
      <c r="A21" s="265">
        <v>55</v>
      </c>
      <c r="B21" s="266" t="s">
        <v>598</v>
      </c>
      <c r="C21" s="266"/>
      <c r="D21" s="265">
        <v>91</v>
      </c>
      <c r="E21" s="266" t="s">
        <v>404</v>
      </c>
      <c r="F21" s="266"/>
      <c r="G21" s="270">
        <v>58</v>
      </c>
      <c r="H21" s="269" t="s">
        <v>309</v>
      </c>
      <c r="I21" s="269"/>
      <c r="J21" s="270">
        <v>61</v>
      </c>
      <c r="K21" s="269" t="s">
        <v>318</v>
      </c>
    </row>
    <row r="22" spans="1:11" ht="13.5" customHeight="1">
      <c r="A22" s="182">
        <v>58</v>
      </c>
      <c r="B22" s="46" t="s">
        <v>310</v>
      </c>
      <c r="C22" s="46"/>
      <c r="D22" s="181">
        <v>80</v>
      </c>
      <c r="E22" s="186" t="s">
        <v>1320</v>
      </c>
      <c r="F22" s="46"/>
      <c r="G22" s="183">
        <v>98</v>
      </c>
      <c r="H22" s="43" t="s">
        <v>417</v>
      </c>
      <c r="I22" s="43"/>
      <c r="J22" s="183">
        <v>84</v>
      </c>
      <c r="K22" s="43" t="s">
        <v>389</v>
      </c>
    </row>
    <row r="23" spans="1:11" ht="13.5" customHeight="1">
      <c r="A23" s="182">
        <v>17</v>
      </c>
      <c r="B23" s="46" t="s">
        <v>933</v>
      </c>
      <c r="C23" s="46"/>
      <c r="D23" s="181">
        <v>88</v>
      </c>
      <c r="E23" s="186" t="s">
        <v>559</v>
      </c>
      <c r="F23" s="46"/>
      <c r="G23" s="183">
        <v>17</v>
      </c>
      <c r="H23" s="43" t="s">
        <v>932</v>
      </c>
      <c r="I23" s="43"/>
      <c r="J23" s="183">
        <v>59</v>
      </c>
      <c r="K23" s="43" t="s">
        <v>311</v>
      </c>
    </row>
    <row r="24" spans="1:11" ht="13.5" customHeight="1">
      <c r="A24" s="182">
        <v>24</v>
      </c>
      <c r="B24" s="46" t="s">
        <v>30</v>
      </c>
      <c r="C24" s="46"/>
      <c r="D24" s="182">
        <v>86</v>
      </c>
      <c r="E24" s="46" t="s">
        <v>394</v>
      </c>
      <c r="F24" s="46"/>
      <c r="G24" s="183">
        <v>96</v>
      </c>
      <c r="H24" s="43" t="s">
        <v>413</v>
      </c>
      <c r="I24" s="43"/>
      <c r="J24" s="183">
        <v>78</v>
      </c>
      <c r="K24" s="43" t="s">
        <v>370</v>
      </c>
    </row>
    <row r="25" spans="1:11" ht="13.5" customHeight="1">
      <c r="A25" s="182">
        <v>27</v>
      </c>
      <c r="B25" s="46" t="s">
        <v>40</v>
      </c>
      <c r="C25" s="46"/>
      <c r="D25" s="183">
        <v>111</v>
      </c>
      <c r="E25" s="43" t="s">
        <v>582</v>
      </c>
      <c r="F25" s="46"/>
      <c r="G25" s="183">
        <v>112</v>
      </c>
      <c r="H25" s="43" t="s">
        <v>1054</v>
      </c>
      <c r="I25" s="43"/>
      <c r="J25" s="183">
        <v>94</v>
      </c>
      <c r="K25" s="43" t="s">
        <v>409</v>
      </c>
    </row>
    <row r="26" spans="1:11" s="45" customFormat="1" ht="15" customHeight="1">
      <c r="A26" s="265">
        <v>112</v>
      </c>
      <c r="B26" s="266" t="s">
        <v>1044</v>
      </c>
      <c r="C26" s="266"/>
      <c r="D26" s="265">
        <v>75</v>
      </c>
      <c r="E26" s="266" t="s">
        <v>362</v>
      </c>
      <c r="F26" s="266"/>
      <c r="G26" s="270">
        <v>27</v>
      </c>
      <c r="H26" s="269" t="s">
        <v>39</v>
      </c>
      <c r="I26" s="269"/>
      <c r="J26" s="267">
        <v>88</v>
      </c>
      <c r="K26" s="268" t="s">
        <v>397</v>
      </c>
    </row>
    <row r="27" spans="1:11" ht="13.5" customHeight="1">
      <c r="A27" s="182">
        <v>96</v>
      </c>
      <c r="B27" s="46" t="s">
        <v>414</v>
      </c>
      <c r="C27" s="46"/>
      <c r="D27" s="182">
        <v>45</v>
      </c>
      <c r="E27" s="46" t="s">
        <v>97</v>
      </c>
      <c r="F27" s="46"/>
      <c r="G27" s="183">
        <v>24</v>
      </c>
      <c r="H27" s="43" t="s">
        <v>29</v>
      </c>
      <c r="I27" s="43"/>
      <c r="J27" s="183">
        <v>37</v>
      </c>
      <c r="K27" s="43" t="s">
        <v>69</v>
      </c>
    </row>
    <row r="28" spans="1:11" ht="13.5" customHeight="1">
      <c r="A28" s="181">
        <v>110</v>
      </c>
      <c r="B28" s="186" t="s">
        <v>597</v>
      </c>
      <c r="C28" s="46"/>
      <c r="D28" s="182">
        <v>37</v>
      </c>
      <c r="E28" s="46" t="s">
        <v>70</v>
      </c>
      <c r="F28" s="46"/>
      <c r="G28" s="183">
        <v>55</v>
      </c>
      <c r="H28" s="43" t="s">
        <v>126</v>
      </c>
      <c r="I28" s="43"/>
      <c r="J28" s="183">
        <v>75</v>
      </c>
      <c r="K28" s="43" t="s">
        <v>361</v>
      </c>
    </row>
    <row r="29" spans="1:11" ht="13.5" customHeight="1">
      <c r="A29" s="182">
        <v>105</v>
      </c>
      <c r="B29" s="46" t="s">
        <v>576</v>
      </c>
      <c r="C29" s="46"/>
      <c r="D29" s="182">
        <v>44</v>
      </c>
      <c r="E29" s="46" t="s">
        <v>93</v>
      </c>
      <c r="F29" s="46"/>
      <c r="G29" s="183">
        <v>29</v>
      </c>
      <c r="H29" s="43" t="s">
        <v>45</v>
      </c>
      <c r="I29" s="43"/>
      <c r="J29" s="183">
        <v>104</v>
      </c>
      <c r="K29" s="43" t="s">
        <v>429</v>
      </c>
    </row>
    <row r="30" spans="1:11" ht="13.5" customHeight="1">
      <c r="A30" s="182">
        <v>66</v>
      </c>
      <c r="B30" s="46" t="s">
        <v>335</v>
      </c>
      <c r="C30" s="46"/>
      <c r="D30" s="182">
        <v>104</v>
      </c>
      <c r="E30" s="46" t="s">
        <v>430</v>
      </c>
      <c r="F30" s="46"/>
      <c r="G30" s="185">
        <v>105</v>
      </c>
      <c r="H30" s="101" t="s">
        <v>432</v>
      </c>
      <c r="I30" s="43"/>
      <c r="J30" s="183">
        <v>111</v>
      </c>
      <c r="K30" s="43" t="s">
        <v>583</v>
      </c>
    </row>
    <row r="31" spans="1:11" s="45" customFormat="1" ht="15" customHeight="1">
      <c r="A31" s="275">
        <v>99</v>
      </c>
      <c r="B31" s="276" t="s">
        <v>561</v>
      </c>
      <c r="C31" s="266"/>
      <c r="D31" s="275">
        <v>62</v>
      </c>
      <c r="E31" s="276" t="s">
        <v>560</v>
      </c>
      <c r="F31" s="266"/>
      <c r="G31" s="270">
        <v>66</v>
      </c>
      <c r="H31" s="269" t="s">
        <v>334</v>
      </c>
      <c r="I31" s="269"/>
      <c r="J31" s="270">
        <v>45</v>
      </c>
      <c r="K31" s="269" t="s">
        <v>96</v>
      </c>
    </row>
    <row r="32" spans="1:11" ht="13.5" customHeight="1">
      <c r="A32" s="182">
        <v>26</v>
      </c>
      <c r="B32" s="46" t="s">
        <v>37</v>
      </c>
      <c r="C32" s="46"/>
      <c r="D32" s="182">
        <v>8</v>
      </c>
      <c r="E32" s="46" t="s">
        <v>901</v>
      </c>
      <c r="F32" s="46"/>
      <c r="G32" s="185">
        <v>68</v>
      </c>
      <c r="H32" s="101" t="s">
        <v>340</v>
      </c>
      <c r="I32" s="43"/>
      <c r="J32" s="183">
        <v>86</v>
      </c>
      <c r="K32" s="43" t="s">
        <v>393</v>
      </c>
    </row>
    <row r="33" spans="1:11" ht="13.5" customHeight="1">
      <c r="A33" s="182">
        <v>68</v>
      </c>
      <c r="B33" s="46" t="s">
        <v>341</v>
      </c>
      <c r="C33" s="46"/>
      <c r="D33" s="182">
        <v>21</v>
      </c>
      <c r="E33" s="46" t="s">
        <v>20</v>
      </c>
      <c r="F33" s="46"/>
      <c r="G33" s="183">
        <v>99</v>
      </c>
      <c r="H33" s="43" t="s">
        <v>419</v>
      </c>
      <c r="I33" s="43"/>
      <c r="J33" s="183">
        <v>44</v>
      </c>
      <c r="K33" s="43" t="s">
        <v>92</v>
      </c>
    </row>
    <row r="34" spans="1:11" ht="13.5" customHeight="1">
      <c r="A34" s="182">
        <v>63</v>
      </c>
      <c r="B34" s="46" t="s">
        <v>325</v>
      </c>
      <c r="C34" s="46"/>
      <c r="D34" s="182">
        <v>16</v>
      </c>
      <c r="E34" s="46" t="s">
        <v>930</v>
      </c>
      <c r="F34" s="46"/>
      <c r="G34" s="183">
        <v>63</v>
      </c>
      <c r="H34" s="43" t="s">
        <v>324</v>
      </c>
      <c r="I34" s="43"/>
      <c r="J34" s="185">
        <v>16</v>
      </c>
      <c r="K34" s="101" t="s">
        <v>929</v>
      </c>
    </row>
    <row r="35" spans="1:11" ht="13.5" customHeight="1">
      <c r="A35" s="181">
        <v>100</v>
      </c>
      <c r="B35" s="186" t="s">
        <v>1321</v>
      </c>
      <c r="C35" s="46"/>
      <c r="D35" s="182">
        <v>106</v>
      </c>
      <c r="E35" s="46" t="s">
        <v>434</v>
      </c>
      <c r="F35" s="46"/>
      <c r="G35" s="185">
        <v>9</v>
      </c>
      <c r="H35" s="101" t="s">
        <v>903</v>
      </c>
      <c r="I35" s="43"/>
      <c r="J35" s="183">
        <v>51</v>
      </c>
      <c r="K35" s="43" t="s">
        <v>114</v>
      </c>
    </row>
    <row r="36" spans="1:11" s="45" customFormat="1" ht="15" customHeight="1">
      <c r="A36" s="265">
        <v>114</v>
      </c>
      <c r="B36" s="266" t="s">
        <v>1060</v>
      </c>
      <c r="C36" s="266"/>
      <c r="D36" s="265">
        <v>34</v>
      </c>
      <c r="E36" s="266" t="s">
        <v>62</v>
      </c>
      <c r="F36" s="266"/>
      <c r="G36" s="270">
        <v>26</v>
      </c>
      <c r="H36" s="269" t="s">
        <v>36</v>
      </c>
      <c r="I36" s="269"/>
      <c r="J36" s="270">
        <v>21</v>
      </c>
      <c r="K36" s="269" t="s">
        <v>19</v>
      </c>
    </row>
    <row r="37" spans="1:11" ht="13.5" customHeight="1">
      <c r="A37" s="182">
        <v>9</v>
      </c>
      <c r="B37" s="46" t="s">
        <v>904</v>
      </c>
      <c r="C37" s="46"/>
      <c r="D37" s="182">
        <v>47</v>
      </c>
      <c r="E37" s="46" t="s">
        <v>103</v>
      </c>
      <c r="F37" s="46"/>
      <c r="G37" s="183">
        <v>114</v>
      </c>
      <c r="H37" s="43" t="s">
        <v>1059</v>
      </c>
      <c r="I37" s="43"/>
      <c r="J37" s="183">
        <v>34</v>
      </c>
      <c r="K37" s="43" t="s">
        <v>61</v>
      </c>
    </row>
    <row r="38" spans="1:11" ht="13.5" customHeight="1">
      <c r="A38" s="182">
        <v>87</v>
      </c>
      <c r="B38" s="46" t="s">
        <v>396</v>
      </c>
      <c r="C38" s="46"/>
      <c r="D38" s="182">
        <v>14</v>
      </c>
      <c r="E38" s="46" t="s">
        <v>921</v>
      </c>
      <c r="F38" s="46"/>
      <c r="G38" s="183">
        <v>100</v>
      </c>
      <c r="H38" s="43" t="s">
        <v>421</v>
      </c>
      <c r="I38" s="43"/>
      <c r="J38" s="183">
        <v>106</v>
      </c>
      <c r="K38" s="43" t="s">
        <v>433</v>
      </c>
    </row>
    <row r="39" spans="1:11" ht="13.5" customHeight="1">
      <c r="A39" s="181">
        <v>31</v>
      </c>
      <c r="B39" s="186" t="s">
        <v>1315</v>
      </c>
      <c r="C39" s="46"/>
      <c r="D39" s="182">
        <v>38</v>
      </c>
      <c r="E39" s="46" t="s">
        <v>73</v>
      </c>
      <c r="F39" s="46"/>
      <c r="G39" s="185">
        <v>31</v>
      </c>
      <c r="H39" s="101" t="s">
        <v>53</v>
      </c>
      <c r="I39" s="43"/>
      <c r="J39" s="183">
        <v>14</v>
      </c>
      <c r="K39" s="5" t="s">
        <v>920</v>
      </c>
    </row>
    <row r="40" spans="1:11" ht="13.5" customHeight="1">
      <c r="A40" s="182">
        <v>32</v>
      </c>
      <c r="B40" s="46" t="s">
        <v>56</v>
      </c>
      <c r="C40" s="46"/>
      <c r="D40" s="181">
        <v>73</v>
      </c>
      <c r="E40" s="186" t="s">
        <v>562</v>
      </c>
      <c r="F40" s="46"/>
      <c r="G40" s="183">
        <v>64</v>
      </c>
      <c r="H40" s="43" t="s">
        <v>327</v>
      </c>
      <c r="I40" s="43"/>
      <c r="J40" s="183">
        <v>62</v>
      </c>
      <c r="K40" s="43" t="s">
        <v>321</v>
      </c>
    </row>
    <row r="41" spans="1:11" ht="13.5" customHeight="1">
      <c r="A41" s="182">
        <v>79</v>
      </c>
      <c r="B41" s="46" t="s">
        <v>374</v>
      </c>
      <c r="C41" s="46"/>
      <c r="D41" s="182">
        <v>43</v>
      </c>
      <c r="E41" s="46" t="s">
        <v>90</v>
      </c>
      <c r="F41" s="46"/>
      <c r="G41" s="183">
        <v>32</v>
      </c>
      <c r="H41" s="43" t="s">
        <v>55</v>
      </c>
      <c r="I41" s="43"/>
      <c r="J41" s="183">
        <v>50</v>
      </c>
      <c r="K41" s="43" t="s">
        <v>111</v>
      </c>
    </row>
    <row r="42" spans="1:11" s="45" customFormat="1" ht="13.5" customHeight="1">
      <c r="A42" s="275">
        <v>72</v>
      </c>
      <c r="B42" s="276" t="s">
        <v>563</v>
      </c>
      <c r="C42" s="266"/>
      <c r="D42" s="265">
        <v>52</v>
      </c>
      <c r="E42" s="266" t="s">
        <v>118</v>
      </c>
      <c r="F42" s="266"/>
      <c r="G42" s="267">
        <v>1</v>
      </c>
      <c r="H42" s="268" t="s">
        <v>871</v>
      </c>
      <c r="I42" s="269"/>
      <c r="J42" s="270">
        <v>38</v>
      </c>
      <c r="K42" s="269" t="s">
        <v>72</v>
      </c>
    </row>
    <row r="43" spans="1:11" s="45" customFormat="1" ht="15" customHeight="1">
      <c r="A43" s="265">
        <v>108</v>
      </c>
      <c r="B43" s="281" t="s">
        <v>578</v>
      </c>
      <c r="C43" s="266"/>
      <c r="D43" s="265">
        <v>65</v>
      </c>
      <c r="E43" s="266" t="s">
        <v>332</v>
      </c>
      <c r="F43" s="266"/>
      <c r="G43" s="270">
        <v>2</v>
      </c>
      <c r="H43" s="269" t="s">
        <v>877</v>
      </c>
      <c r="I43" s="269"/>
      <c r="J43" s="267">
        <v>73</v>
      </c>
      <c r="K43" s="268" t="s">
        <v>355</v>
      </c>
    </row>
    <row r="44" spans="1:11" ht="13.5" customHeight="1">
      <c r="A44" s="182">
        <v>2</v>
      </c>
      <c r="B44" s="46" t="s">
        <v>878</v>
      </c>
      <c r="C44" s="46"/>
      <c r="D44" s="182">
        <v>81</v>
      </c>
      <c r="E44" s="46" t="s">
        <v>380</v>
      </c>
      <c r="F44" s="46"/>
      <c r="G44" s="183">
        <v>72</v>
      </c>
      <c r="H44" s="43" t="s">
        <v>352</v>
      </c>
      <c r="I44" s="43"/>
      <c r="J44" s="183">
        <v>65</v>
      </c>
      <c r="K44" s="43" t="s">
        <v>331</v>
      </c>
    </row>
    <row r="45" spans="1:11" ht="13.5" customHeight="1">
      <c r="A45" s="182">
        <v>67</v>
      </c>
      <c r="B45" s="46" t="s">
        <v>338</v>
      </c>
      <c r="C45" s="46"/>
      <c r="D45" s="182">
        <v>90</v>
      </c>
      <c r="E45" s="46" t="s">
        <v>402</v>
      </c>
      <c r="F45" s="46"/>
      <c r="G45" s="183">
        <v>80</v>
      </c>
      <c r="H45" s="43" t="s">
        <v>376</v>
      </c>
      <c r="I45" s="43"/>
      <c r="J45" s="183">
        <v>43</v>
      </c>
      <c r="K45" s="43" t="s">
        <v>89</v>
      </c>
    </row>
    <row r="46" spans="1:11" ht="13.5" customHeight="1">
      <c r="A46" s="181">
        <v>49</v>
      </c>
      <c r="B46" s="186" t="s">
        <v>564</v>
      </c>
      <c r="C46" s="46"/>
      <c r="D46" s="182">
        <v>69</v>
      </c>
      <c r="E46" s="46" t="s">
        <v>344</v>
      </c>
      <c r="F46" s="46"/>
      <c r="G46" s="183">
        <v>67</v>
      </c>
      <c r="H46" s="43" t="s">
        <v>337</v>
      </c>
      <c r="I46" s="43"/>
      <c r="J46" s="183">
        <v>52</v>
      </c>
      <c r="K46" s="43" t="s">
        <v>117</v>
      </c>
    </row>
    <row r="47" spans="1:11" ht="13.5" customHeight="1">
      <c r="A47" s="182">
        <v>53</v>
      </c>
      <c r="B47" s="46" t="s">
        <v>121</v>
      </c>
      <c r="C47" s="46"/>
      <c r="D47" s="182">
        <v>22</v>
      </c>
      <c r="E47" s="46" t="s">
        <v>23</v>
      </c>
      <c r="F47" s="46"/>
      <c r="G47" s="183">
        <v>108</v>
      </c>
      <c r="H47" s="43" t="s">
        <v>436</v>
      </c>
      <c r="I47" s="43"/>
      <c r="J47" s="183">
        <v>90</v>
      </c>
      <c r="K47" s="43" t="s">
        <v>401</v>
      </c>
    </row>
    <row r="48" spans="1:11" s="45" customFormat="1" ht="15" customHeight="1">
      <c r="A48" s="265">
        <v>77</v>
      </c>
      <c r="B48" s="266" t="s">
        <v>368</v>
      </c>
      <c r="C48" s="266"/>
      <c r="D48" s="275">
        <v>113</v>
      </c>
      <c r="E48" s="282" t="s">
        <v>1063</v>
      </c>
      <c r="F48" s="266"/>
      <c r="G48" s="267">
        <v>53</v>
      </c>
      <c r="H48" s="268" t="s">
        <v>814</v>
      </c>
      <c r="I48" s="269"/>
      <c r="J48" s="270">
        <v>22</v>
      </c>
      <c r="K48" s="269" t="s">
        <v>22</v>
      </c>
    </row>
    <row r="49" spans="1:11" ht="13.5" customHeight="1">
      <c r="A49" s="250">
        <v>19</v>
      </c>
      <c r="B49" s="186" t="s">
        <v>565</v>
      </c>
      <c r="C49" s="46"/>
      <c r="D49" s="182">
        <v>92</v>
      </c>
      <c r="E49" s="46" t="s">
        <v>1064</v>
      </c>
      <c r="F49" s="43"/>
      <c r="G49" s="183">
        <v>49</v>
      </c>
      <c r="H49" s="43" t="s">
        <v>107</v>
      </c>
      <c r="I49" s="43"/>
      <c r="J49" s="183">
        <v>81</v>
      </c>
      <c r="K49" s="43" t="s">
        <v>379</v>
      </c>
    </row>
    <row r="50" spans="1:11" ht="13.5" customHeight="1">
      <c r="A50" s="182">
        <v>6</v>
      </c>
      <c r="B50" s="46" t="s">
        <v>894</v>
      </c>
      <c r="C50" s="46"/>
      <c r="D50" s="181">
        <v>23</v>
      </c>
      <c r="E50" s="186" t="s">
        <v>1322</v>
      </c>
      <c r="F50" s="43"/>
      <c r="G50" s="183">
        <v>77</v>
      </c>
      <c r="H50" s="43" t="s">
        <v>367</v>
      </c>
      <c r="I50" s="43"/>
      <c r="J50" s="183">
        <v>69</v>
      </c>
      <c r="K50" s="43" t="s">
        <v>343</v>
      </c>
    </row>
    <row r="51" spans="1:11" ht="13.5" customHeight="1">
      <c r="A51" s="182">
        <v>36</v>
      </c>
      <c r="B51" s="46" t="s">
        <v>68</v>
      </c>
      <c r="C51" s="46"/>
      <c r="D51" s="181">
        <v>1</v>
      </c>
      <c r="E51" s="186" t="s">
        <v>566</v>
      </c>
      <c r="F51" s="43"/>
      <c r="G51" s="185">
        <v>19</v>
      </c>
      <c r="H51" s="101" t="s">
        <v>11</v>
      </c>
      <c r="I51" s="43"/>
      <c r="J51" s="185">
        <v>92</v>
      </c>
      <c r="K51" s="101" t="s">
        <v>405</v>
      </c>
    </row>
    <row r="52" spans="1:11" ht="13.5" customHeight="1">
      <c r="A52" s="182">
        <v>29</v>
      </c>
      <c r="B52" s="46" t="s">
        <v>46</v>
      </c>
      <c r="C52" s="46"/>
      <c r="D52" s="182">
        <v>74</v>
      </c>
      <c r="E52" s="46" t="s">
        <v>358</v>
      </c>
      <c r="F52" s="43"/>
      <c r="G52" s="183">
        <v>36</v>
      </c>
      <c r="H52" s="43" t="s">
        <v>67</v>
      </c>
      <c r="I52" s="43"/>
      <c r="J52" s="184">
        <v>113</v>
      </c>
      <c r="K52" s="47" t="s">
        <v>585</v>
      </c>
    </row>
    <row r="53" spans="1:11" ht="13.5" customHeight="1">
      <c r="A53" s="181">
        <v>57</v>
      </c>
      <c r="B53" s="186" t="s">
        <v>568</v>
      </c>
      <c r="C53" s="46"/>
      <c r="D53" s="181">
        <v>54</v>
      </c>
      <c r="E53" s="186" t="s">
        <v>1323</v>
      </c>
      <c r="F53" s="43"/>
      <c r="G53" s="185">
        <v>57</v>
      </c>
      <c r="H53" s="101" t="s">
        <v>307</v>
      </c>
      <c r="I53" s="43"/>
      <c r="J53" s="185">
        <v>23</v>
      </c>
      <c r="K53" s="101" t="s">
        <v>25</v>
      </c>
    </row>
    <row r="54" spans="1:11" ht="13.5" customHeight="1">
      <c r="A54" s="182">
        <v>103</v>
      </c>
      <c r="B54" s="46" t="s">
        <v>428</v>
      </c>
      <c r="C54" s="46"/>
      <c r="D54" s="181">
        <v>70</v>
      </c>
      <c r="E54" s="186" t="s">
        <v>567</v>
      </c>
      <c r="F54" s="43"/>
      <c r="G54" s="183">
        <v>3</v>
      </c>
      <c r="H54" s="43" t="s">
        <v>880</v>
      </c>
      <c r="I54" s="43"/>
      <c r="J54" s="185">
        <v>74</v>
      </c>
      <c r="K54" s="101" t="s">
        <v>357</v>
      </c>
    </row>
    <row r="55" spans="1:11" ht="13.5" customHeight="1">
      <c r="A55" s="182">
        <v>3</v>
      </c>
      <c r="B55" s="46" t="s">
        <v>881</v>
      </c>
      <c r="C55" s="46"/>
      <c r="D55" s="182">
        <v>39</v>
      </c>
      <c r="E55" s="46" t="s">
        <v>77</v>
      </c>
      <c r="F55" s="43"/>
      <c r="G55" s="183">
        <v>71</v>
      </c>
      <c r="H55" s="43" t="s">
        <v>349</v>
      </c>
      <c r="I55" s="43"/>
      <c r="J55" s="185">
        <v>54</v>
      </c>
      <c r="K55" s="101" t="s">
        <v>124</v>
      </c>
    </row>
    <row r="56" spans="1:11" ht="13.5" customHeight="1">
      <c r="A56" s="182">
        <v>116</v>
      </c>
      <c r="B56" s="46" t="s">
        <v>1061</v>
      </c>
      <c r="C56" s="46"/>
      <c r="D56" s="181">
        <v>30</v>
      </c>
      <c r="E56" s="186" t="s">
        <v>569</v>
      </c>
      <c r="F56" s="43"/>
      <c r="G56" s="183">
        <v>116</v>
      </c>
      <c r="H56" s="43" t="s">
        <v>1062</v>
      </c>
      <c r="I56" s="43"/>
      <c r="J56" s="185">
        <v>39</v>
      </c>
      <c r="K56" s="101" t="s">
        <v>76</v>
      </c>
    </row>
    <row r="57" spans="1:11" ht="13.5" customHeight="1">
      <c r="A57" s="182">
        <v>71</v>
      </c>
      <c r="B57" s="46" t="s">
        <v>350</v>
      </c>
      <c r="C57" s="46"/>
      <c r="D57" s="182">
        <v>50</v>
      </c>
      <c r="E57" s="46" t="s">
        <v>112</v>
      </c>
      <c r="F57" s="43"/>
      <c r="G57" s="185">
        <v>103</v>
      </c>
      <c r="H57" s="101" t="s">
        <v>427</v>
      </c>
      <c r="I57" s="43"/>
      <c r="J57" s="183">
        <v>70</v>
      </c>
      <c r="K57" s="43" t="s">
        <v>346</v>
      </c>
    </row>
    <row r="58" spans="1:11" ht="13.5" customHeight="1">
      <c r="A58" s="181">
        <v>12</v>
      </c>
      <c r="B58" s="186" t="s">
        <v>570</v>
      </c>
      <c r="C58" s="46"/>
      <c r="D58" s="182">
        <v>40</v>
      </c>
      <c r="E58" s="46" t="s">
        <v>81</v>
      </c>
      <c r="F58" s="43"/>
      <c r="G58" s="183">
        <v>101</v>
      </c>
      <c r="H58" s="43" t="s">
        <v>423</v>
      </c>
      <c r="I58" s="43"/>
      <c r="J58" s="185">
        <v>30</v>
      </c>
      <c r="K58" s="101" t="s">
        <v>49</v>
      </c>
    </row>
    <row r="59" spans="1:11" ht="13.5" customHeight="1">
      <c r="A59" s="182">
        <v>25</v>
      </c>
      <c r="B59" s="46" t="s">
        <v>34</v>
      </c>
      <c r="J59" s="183">
        <v>40</v>
      </c>
      <c r="K59" s="43" t="s">
        <v>80</v>
      </c>
    </row>
    <row r="60" spans="1:11" ht="13.5" customHeight="1">
      <c r="A60" s="5"/>
      <c r="B60" s="5"/>
    </row>
    <row r="61" spans="1:11" ht="13.5" customHeight="1">
      <c r="A61" s="5"/>
      <c r="B61" s="5"/>
    </row>
    <row r="62" spans="1:11" ht="13.5" customHeight="1">
      <c r="A62" s="5"/>
      <c r="B62" s="5"/>
      <c r="C62" s="5"/>
    </row>
    <row r="63" spans="1:11" ht="13.5" customHeight="1">
      <c r="A63" s="5"/>
      <c r="B63" s="5"/>
      <c r="C63" s="5"/>
    </row>
    <row r="64" spans="1:11">
      <c r="A64" s="5"/>
      <c r="B64" s="5"/>
      <c r="C64" s="5"/>
    </row>
    <row r="65" spans="1:3">
      <c r="A65" s="5"/>
      <c r="B65" s="5"/>
      <c r="C65" s="5"/>
    </row>
    <row r="66" spans="1:3">
      <c r="A66" s="5"/>
      <c r="B66" s="5"/>
      <c r="C66" s="5"/>
    </row>
    <row r="67" spans="1:3">
      <c r="A67" s="5"/>
      <c r="B67" s="5"/>
      <c r="C67" s="5"/>
    </row>
    <row r="68" spans="1:3">
      <c r="A68" s="5"/>
      <c r="B68" s="5"/>
      <c r="C68" s="5"/>
    </row>
    <row r="69" spans="1:3">
      <c r="A69" s="5"/>
      <c r="B69" s="5"/>
      <c r="C69" s="5"/>
    </row>
    <row r="70" spans="1:3">
      <c r="A70" s="5"/>
      <c r="B70" s="5"/>
      <c r="C70" s="5"/>
    </row>
    <row r="71" spans="1:3">
      <c r="A71" s="5"/>
      <c r="B71" s="5"/>
      <c r="C71" s="5"/>
    </row>
    <row r="72" spans="1:3">
      <c r="A72" s="5"/>
      <c r="B72" s="5"/>
      <c r="C72" s="5"/>
    </row>
    <row r="73" spans="1:3">
      <c r="A73" s="5"/>
      <c r="B73" s="5"/>
      <c r="C73" s="5"/>
    </row>
    <row r="74" spans="1:3">
      <c r="A74" s="5"/>
      <c r="B74" s="5"/>
      <c r="C74" s="5"/>
    </row>
    <row r="75" spans="1:3">
      <c r="A75" s="5"/>
      <c r="B75" s="5"/>
      <c r="C75" s="5"/>
    </row>
    <row r="76" spans="1:3">
      <c r="A76" s="5"/>
      <c r="B76" s="5"/>
      <c r="C76" s="5"/>
    </row>
    <row r="77" spans="1:3">
      <c r="A77" s="5"/>
      <c r="B77" s="5"/>
      <c r="C77" s="5"/>
    </row>
    <row r="78" spans="1:3">
      <c r="A78" s="5"/>
      <c r="B78" s="5"/>
      <c r="C78" s="5"/>
    </row>
    <row r="79" spans="1:3">
      <c r="A79" s="5"/>
      <c r="B79" s="5"/>
      <c r="C79" s="5"/>
    </row>
    <row r="80" spans="1:3">
      <c r="A80" s="5"/>
      <c r="B80" s="5"/>
      <c r="C80" s="5"/>
    </row>
    <row r="81" spans="1:3">
      <c r="A81" s="5"/>
      <c r="B81" s="5"/>
      <c r="C81" s="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sheetData>
  <mergeCells count="3">
    <mergeCell ref="A1:K1"/>
    <mergeCell ref="G2:K2"/>
    <mergeCell ref="A2:E2"/>
  </mergeCells>
  <phoneticPr fontId="0" type="noConversion"/>
  <printOptions horizontalCentered="1" verticalCentered="1"/>
  <pageMargins left="0" right="0" top="0.23622047244094491" bottom="0.23622047244094491" header="0.23622047244094491" footer="0.23622047244094491"/>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dimension ref="A1:N549"/>
  <sheetViews>
    <sheetView topLeftCell="A523" workbookViewId="0">
      <selection activeCell="L10" sqref="L10"/>
    </sheetView>
  </sheetViews>
  <sheetFormatPr baseColWidth="10" defaultRowHeight="15.95" customHeight="1"/>
  <cols>
    <col min="1" max="1" width="2.875" bestFit="1" customWidth="1"/>
    <col min="2" max="2" width="3.625" style="23" bestFit="1" customWidth="1"/>
    <col min="3" max="3" width="3.875" bestFit="1" customWidth="1"/>
    <col min="4" max="6" width="13.375" customWidth="1"/>
    <col min="7" max="7" width="12.25" customWidth="1"/>
    <col min="10" max="13" width="11" hidden="1" customWidth="1"/>
  </cols>
  <sheetData>
    <row r="1" spans="1:14" ht="15.95" customHeight="1">
      <c r="A1" t="s">
        <v>860</v>
      </c>
      <c r="B1" s="20"/>
      <c r="C1" t="s">
        <v>861</v>
      </c>
      <c r="D1" t="s">
        <v>996</v>
      </c>
      <c r="E1" t="s">
        <v>995</v>
      </c>
      <c r="F1" t="s">
        <v>982</v>
      </c>
      <c r="G1" t="s">
        <v>859</v>
      </c>
      <c r="N1" s="8" t="s">
        <v>1009</v>
      </c>
    </row>
    <row r="2" spans="1:14" ht="15.95" customHeight="1">
      <c r="A2">
        <v>1</v>
      </c>
      <c r="B2" s="20" t="s">
        <v>871</v>
      </c>
      <c r="C2" s="17">
        <v>0</v>
      </c>
      <c r="D2" t="s">
        <v>872</v>
      </c>
      <c r="E2" t="s">
        <v>981</v>
      </c>
      <c r="G2" t="str">
        <f>CONCATENATE("[","http://atom.kaeri.re.kr/cgi-bin/nuclide?nuc=",B2,"-",C2," &lt;sub&gt;",C2,"&lt;/sub&gt;",B2,"]")</f>
        <v>[http://atom.kaeri.re.kr/cgi-bin/nuclide?nuc=H-0 &lt;sub&gt;0&lt;/sub&gt;H]</v>
      </c>
      <c r="N2" t="str">
        <f>CONCATENATE("=== [[",D2,"]] ===&lt;br&gt;{| {{tabelle}}&lt;br&gt;! Isotop !! ",$D$1," !! [[",$E$1,"]] !! ",$F$1," &lt;br&gt; |-")</f>
        <v>=== [[Wasserstoff]] ===&lt;br&gt;{| {{tabelle}}&lt;br&gt;! Isotop !! natürliche Häufigkeit !! [[Halbwertszeit]] !! Herkunft, techn. Bedeutung &lt;br&gt; |-</v>
      </c>
    </row>
    <row r="3" spans="1:14" ht="15.95" customHeight="1">
      <c r="A3" s="17">
        <v>1</v>
      </c>
      <c r="B3" s="21" t="s">
        <v>871</v>
      </c>
      <c r="C3" s="17">
        <v>1</v>
      </c>
      <c r="D3" s="17">
        <v>99.988500000000002</v>
      </c>
      <c r="E3" t="s">
        <v>981</v>
      </c>
      <c r="G3" t="str">
        <f>CONCATENATE("[","http://atom.kaeri.re.kr/cgi-bin/nuclide?nuc=",B3,"-",C3," &lt;sub&gt;",C3,"&lt;/sub&gt;",B3,"]")</f>
        <v>[http://atom.kaeri.re.kr/cgi-bin/nuclide?nuc=H-1 &lt;sub&gt;1&lt;/sub&gt;H]</v>
      </c>
      <c r="H3" t="str">
        <f>CONCATENATE(D3," % || ",E3)</f>
        <v>99,9885 % || stabil</v>
      </c>
      <c r="I3" t="str">
        <f>CONCATENATE(" | ",G3," || ",H3," || ",F3)</f>
        <v xml:space="preserve"> | [http://atom.kaeri.re.kr/cgi-bin/nuclide?nuc=H-1 &lt;sub&gt;1&lt;/sub&gt;H] || 99,9885 % || stabil || </v>
      </c>
      <c r="N3" t="str">
        <f>CONCATENATE(I3,"&lt;br&gt;"," |-")</f>
        <v xml:space="preserve"> | [http://atom.kaeri.re.kr/cgi-bin/nuclide?nuc=H-1 &lt;sub&gt;1&lt;/sub&gt;H] || 99,9885 % || stabil || &lt;br&gt; |-</v>
      </c>
    </row>
    <row r="4" spans="1:14" ht="15.95" customHeight="1">
      <c r="A4" s="17">
        <v>1</v>
      </c>
      <c r="B4" s="21" t="s">
        <v>871</v>
      </c>
      <c r="C4" s="17">
        <v>2</v>
      </c>
      <c r="D4" s="17">
        <v>1.15E-2</v>
      </c>
      <c r="E4" t="s">
        <v>981</v>
      </c>
      <c r="G4" t="str">
        <f>CONCATENATE("[","http://atom.kaeri.re.kr/cgi-bin/nuclide?nuc=",B4,"-",C4," &lt;sub&gt;",C4,"&lt;/sub&gt;",B4,"]")</f>
        <v>[http://atom.kaeri.re.kr/cgi-bin/nuclide?nuc=H-2 &lt;sub&gt;2&lt;/sub&gt;H]</v>
      </c>
      <c r="H4" t="str">
        <f>CONCATENATE(D4," % || ",E4)</f>
        <v>0,0115 % || stabil</v>
      </c>
      <c r="I4" t="str">
        <f>CONCATENATE(" | ",G4," || ",H4," || ",F4)</f>
        <v xml:space="preserve"> | [http://atom.kaeri.re.kr/cgi-bin/nuclide?nuc=H-2 &lt;sub&gt;2&lt;/sub&gt;H] || 0,0115 % || stabil || </v>
      </c>
      <c r="N4" t="str">
        <f>CONCATENATE(I4,"&lt;br&gt;"," |-")</f>
        <v xml:space="preserve"> | [http://atom.kaeri.re.kr/cgi-bin/nuclide?nuc=H-2 &lt;sub&gt;2&lt;/sub&gt;H] || 0,0115 % || stabil || &lt;br&gt; |-</v>
      </c>
    </row>
    <row r="5" spans="1:14" s="18" customFormat="1" ht="15.95" customHeight="1">
      <c r="A5" s="17">
        <v>1</v>
      </c>
      <c r="B5" s="22" t="s">
        <v>871</v>
      </c>
      <c r="C5" s="19">
        <v>3</v>
      </c>
      <c r="D5" s="25">
        <v>1.0000000000000001E-17</v>
      </c>
      <c r="E5" t="s">
        <v>935</v>
      </c>
      <c r="F5" t="s">
        <v>1007</v>
      </c>
      <c r="G5" t="str">
        <f>CONCATENATE("[","http://atom.kaeri.re.kr/cgi-bin/nuclide?nuc=",B5,"-",C5," &lt;sub&gt;",C5,"&lt;/sub&gt;",B5,"]")</f>
        <v>[http://atom.kaeri.re.kr/cgi-bin/nuclide?nuc=H-3 &lt;sub&gt;3&lt;/sub&gt;H]</v>
      </c>
      <c r="H5" t="str">
        <f>CONCATENATE(D5," % || ",E5)</f>
        <v>0,00000000000000001 % || 12,3 Jahre</v>
      </c>
      <c r="I5" t="str">
        <f>CONCATENATE(" | ",G5," || ",H5," || ",F5)</f>
        <v xml:space="preserve"> | [http://atom.kaeri.re.kr/cgi-bin/nuclide?nuc=H-3 &lt;sub&gt;3&lt;/sub&gt;H] || 0,00000000000000001 % || 12,3 Jahre || [[radioaktiv]], kosmogen, Kernwaffenfallout, Leuchtfarben, Kerntechnik</v>
      </c>
      <c r="J5"/>
      <c r="K5"/>
      <c r="L5"/>
      <c r="M5"/>
      <c r="N5" t="str">
        <f>CONCATENATE(I5,"&lt;br&gt;"," |-")</f>
        <v xml:space="preserve"> | [http://atom.kaeri.re.kr/cgi-bin/nuclide?nuc=H-3 &lt;sub&gt;3&lt;/sub&gt;H] || 0,00000000000000001 % || 12,3 Jahre || [[radioaktiv]], kosmogen, Kernwaffenfallout, Leuchtfarben, Kerntechnik&lt;br&gt; |-</v>
      </c>
    </row>
    <row r="6" spans="1:14" ht="15.95" customHeight="1">
      <c r="A6">
        <v>1</v>
      </c>
      <c r="B6" s="23" t="s">
        <v>871</v>
      </c>
      <c r="C6">
        <v>999</v>
      </c>
      <c r="D6" t="s">
        <v>872</v>
      </c>
      <c r="E6" t="s">
        <v>981</v>
      </c>
      <c r="N6" t="str">
        <f>CONCATENATE(" |}&lt;br&gt;* [http://atom.kaeri.re.kr/cgi-bin/nuclide?nuc=",B6," alle bekannten ",D6,"-Isotope]")</f>
        <v xml:space="preserve"> |}&lt;br&gt;* [http://atom.kaeri.re.kr/cgi-bin/nuclide?nuc=H alle bekannten Wasserstoff-Isotope]</v>
      </c>
    </row>
    <row r="7" spans="1:14" ht="15.95" customHeight="1">
      <c r="A7">
        <v>2</v>
      </c>
      <c r="B7" s="23" t="s">
        <v>877</v>
      </c>
      <c r="C7" s="17">
        <v>0</v>
      </c>
      <c r="D7" t="s">
        <v>878</v>
      </c>
      <c r="E7" t="s">
        <v>981</v>
      </c>
      <c r="N7" t="str">
        <f>CONCATENATE("=== [[",D7,"]] ===&lt;br&gt;{| {{tabelle}}&lt;br&gt;! Isotop !! ",$D$1," !! [[",$E$1,"]] !! ",$F$1," &lt;br&gt; |-")</f>
        <v>=== [[Helium]] ===&lt;br&gt;{| {{tabelle}}&lt;br&gt;! Isotop !! natürliche Häufigkeit !! [[Halbwertszeit]] !! Herkunft, techn. Bedeutung &lt;br&gt; |-</v>
      </c>
    </row>
    <row r="8" spans="1:14" ht="15.95" customHeight="1">
      <c r="A8" s="17">
        <v>2</v>
      </c>
      <c r="B8" s="21" t="s">
        <v>877</v>
      </c>
      <c r="C8" s="17">
        <v>3</v>
      </c>
      <c r="D8" s="17">
        <v>1.37E-4</v>
      </c>
      <c r="E8" t="s">
        <v>981</v>
      </c>
      <c r="G8" t="str">
        <f>CONCATENATE("[","http://atom.kaeri.re.kr/cgi-bin/nuclide?nuc=",B8,"-",C8," &lt;sub&gt;",C8,"&lt;/sub&gt;",B8,"]")</f>
        <v>[http://atom.kaeri.re.kr/cgi-bin/nuclide?nuc=He-3 &lt;sub&gt;3&lt;/sub&gt;He]</v>
      </c>
      <c r="H8" t="str">
        <f>CONCATENATE(D8," % || ",E8)</f>
        <v>0,000137 % || stabil</v>
      </c>
      <c r="I8" t="str">
        <f>CONCATENATE(" | ",G8," || ",H8," || ",F8)</f>
        <v xml:space="preserve"> | [http://atom.kaeri.re.kr/cgi-bin/nuclide?nuc=He-3 &lt;sub&gt;3&lt;/sub&gt;He] || 0,000137 % || stabil || </v>
      </c>
      <c r="N8" t="str">
        <f>CONCATENATE(I8,"&lt;br&gt;"," |-")</f>
        <v xml:space="preserve"> | [http://atom.kaeri.re.kr/cgi-bin/nuclide?nuc=He-3 &lt;sub&gt;3&lt;/sub&gt;He] || 0,000137 % || stabil || &lt;br&gt; |-</v>
      </c>
    </row>
    <row r="9" spans="1:14" ht="15.95" customHeight="1">
      <c r="A9" s="17">
        <v>2</v>
      </c>
      <c r="B9" s="21" t="s">
        <v>877</v>
      </c>
      <c r="C9" s="17">
        <v>4</v>
      </c>
      <c r="D9" s="17">
        <v>99.999863000000005</v>
      </c>
      <c r="E9" t="s">
        <v>981</v>
      </c>
      <c r="G9" t="str">
        <f>CONCATENATE("[","http://atom.kaeri.re.kr/cgi-bin/nuclide?nuc=",B9,"-",C9," &lt;sub&gt;",C9,"&lt;/sub&gt;",B9,"]")</f>
        <v>[http://atom.kaeri.re.kr/cgi-bin/nuclide?nuc=He-4 &lt;sub&gt;4&lt;/sub&gt;He]</v>
      </c>
      <c r="H9" t="str">
        <f>CONCATENATE(D9," % || ",E9)</f>
        <v>99,999863 % || stabil</v>
      </c>
      <c r="I9" t="str">
        <f>CONCATENATE(" | ",G9," || ",H9," || ",F9)</f>
        <v xml:space="preserve"> | [http://atom.kaeri.re.kr/cgi-bin/nuclide?nuc=He-4 &lt;sub&gt;4&lt;/sub&gt;He] || 99,999863 % || stabil || </v>
      </c>
      <c r="N9" t="str">
        <f>CONCATENATE(I9,"&lt;br&gt;"," |-")</f>
        <v xml:space="preserve"> | [http://atom.kaeri.re.kr/cgi-bin/nuclide?nuc=He-4 &lt;sub&gt;4&lt;/sub&gt;He] || 99,999863 % || stabil || &lt;br&gt; |-</v>
      </c>
    </row>
    <row r="10" spans="1:14" ht="15.95" customHeight="1">
      <c r="A10">
        <v>2</v>
      </c>
      <c r="B10" s="23" t="s">
        <v>877</v>
      </c>
      <c r="C10">
        <v>999</v>
      </c>
      <c r="D10" t="s">
        <v>878</v>
      </c>
      <c r="E10" t="s">
        <v>981</v>
      </c>
      <c r="N10" t="str">
        <f>CONCATENATE(" |}&lt;br&gt;* [http://atom.kaeri.re.kr/cgi-bin/nuclide?nuc=",B10," alle bekannten ",D10,"-Isotope]")</f>
        <v xml:space="preserve"> |}&lt;br&gt;* [http://atom.kaeri.re.kr/cgi-bin/nuclide?nuc=He alle bekannten Helium-Isotope]</v>
      </c>
    </row>
    <row r="11" spans="1:14" ht="15.95" customHeight="1">
      <c r="A11">
        <v>3</v>
      </c>
      <c r="B11" s="23" t="s">
        <v>880</v>
      </c>
      <c r="C11" s="17">
        <v>0</v>
      </c>
      <c r="D11" t="s">
        <v>881</v>
      </c>
      <c r="E11" t="s">
        <v>981</v>
      </c>
      <c r="N11" t="str">
        <f>CONCATENATE("=== [[",D11,"]] ===&lt;br&gt;{| {{tabelle}}&lt;br&gt;! Isotop !! ",$D$1," !! [[",$E$1,"]] !! ",$F$1," &lt;br&gt; |-")</f>
        <v>=== [[Lithium]] ===&lt;br&gt;{| {{tabelle}}&lt;br&gt;! Isotop !! natürliche Häufigkeit !! [[Halbwertszeit]] !! Herkunft, techn. Bedeutung &lt;br&gt; |-</v>
      </c>
    </row>
    <row r="12" spans="1:14" ht="15.95" customHeight="1">
      <c r="A12" s="17">
        <v>3</v>
      </c>
      <c r="B12" s="21" t="s">
        <v>880</v>
      </c>
      <c r="C12" s="17">
        <v>6</v>
      </c>
      <c r="D12" s="17">
        <v>7.59</v>
      </c>
      <c r="E12" t="s">
        <v>981</v>
      </c>
      <c r="G12" t="str">
        <f>CONCATENATE("[","http://atom.kaeri.re.kr/cgi-bin/nuclide?nuc=",B12,"-",C12," &lt;sub&gt;",C12,"&lt;/sub&gt;",B12,"]")</f>
        <v>[http://atom.kaeri.re.kr/cgi-bin/nuclide?nuc=Li-6 &lt;sub&gt;6&lt;/sub&gt;Li]</v>
      </c>
      <c r="H12" t="str">
        <f>CONCATENATE(D12," % || ",E12)</f>
        <v>7,59 % || stabil</v>
      </c>
      <c r="I12" t="str">
        <f>CONCATENATE(" | ",G12," || ",H12," || ",F12)</f>
        <v xml:space="preserve"> | [http://atom.kaeri.re.kr/cgi-bin/nuclide?nuc=Li-6 &lt;sub&gt;6&lt;/sub&gt;Li] || 7,59 % || stabil || </v>
      </c>
      <c r="N12" t="str">
        <f>CONCATENATE(I12,"&lt;br&gt;"," |-")</f>
        <v xml:space="preserve"> | [http://atom.kaeri.re.kr/cgi-bin/nuclide?nuc=Li-6 &lt;sub&gt;6&lt;/sub&gt;Li] || 7,59 % || stabil || &lt;br&gt; |-</v>
      </c>
    </row>
    <row r="13" spans="1:14" ht="15.95" customHeight="1">
      <c r="A13" s="17">
        <v>3</v>
      </c>
      <c r="B13" s="21" t="s">
        <v>880</v>
      </c>
      <c r="C13" s="17">
        <v>7</v>
      </c>
      <c r="D13" s="17">
        <v>92.41</v>
      </c>
      <c r="E13" t="s">
        <v>981</v>
      </c>
      <c r="G13" t="str">
        <f>CONCATENATE("[","http://atom.kaeri.re.kr/cgi-bin/nuclide?nuc=",B13,"-",C13," &lt;sub&gt;",C13,"&lt;/sub&gt;",B13,"]")</f>
        <v>[http://atom.kaeri.re.kr/cgi-bin/nuclide?nuc=Li-7 &lt;sub&gt;7&lt;/sub&gt;Li]</v>
      </c>
      <c r="H13" t="str">
        <f>CONCATENATE(D13," % || ",E13)</f>
        <v>92,41 % || stabil</v>
      </c>
      <c r="I13" t="str">
        <f>CONCATENATE(" | ",G13," || ",H13," || ",F13)</f>
        <v xml:space="preserve"> | [http://atom.kaeri.re.kr/cgi-bin/nuclide?nuc=Li-7 &lt;sub&gt;7&lt;/sub&gt;Li] || 92,41 % || stabil || </v>
      </c>
      <c r="N13" t="str">
        <f>CONCATENATE(I13,"&lt;br&gt;"," |-")</f>
        <v xml:space="preserve"> | [http://atom.kaeri.re.kr/cgi-bin/nuclide?nuc=Li-7 &lt;sub&gt;7&lt;/sub&gt;Li] || 92,41 % || stabil || &lt;br&gt; |-</v>
      </c>
    </row>
    <row r="14" spans="1:14" ht="15.95" customHeight="1">
      <c r="A14">
        <v>3</v>
      </c>
      <c r="B14" s="23" t="s">
        <v>880</v>
      </c>
      <c r="C14">
        <v>999</v>
      </c>
      <c r="D14" t="s">
        <v>881</v>
      </c>
      <c r="E14" t="s">
        <v>981</v>
      </c>
      <c r="N14" t="str">
        <f>CONCATENATE(" |}&lt;br&gt;* [http://atom.kaeri.re.kr/cgi-bin/nuclide?nuc=",B14," alle bekannten ",D14,"-Isotope]")</f>
        <v xml:space="preserve"> |}&lt;br&gt;* [http://atom.kaeri.re.kr/cgi-bin/nuclide?nuc=Li alle bekannten Lithium-Isotope]</v>
      </c>
    </row>
    <row r="15" spans="1:14" ht="15.95" customHeight="1">
      <c r="A15">
        <v>4</v>
      </c>
      <c r="B15" s="23" t="s">
        <v>884</v>
      </c>
      <c r="C15" s="17">
        <v>0</v>
      </c>
      <c r="D15" t="s">
        <v>885</v>
      </c>
      <c r="E15" t="s">
        <v>981</v>
      </c>
      <c r="N15" t="str">
        <f>CONCATENATE("=== [[",D15,"]] ===&lt;br&gt;{| {{tabelle}}&lt;br&gt;! Isotop !! ",$D$1," !! [[",$E$1,"]] !! ",$F$1," &lt;br&gt; |-")</f>
        <v>=== [[Beryllium]] ===&lt;br&gt;{| {{tabelle}}&lt;br&gt;! Isotop !! natürliche Häufigkeit !! [[Halbwertszeit]] !! Herkunft, techn. Bedeutung &lt;br&gt; |-</v>
      </c>
    </row>
    <row r="16" spans="1:14" s="18" customFormat="1" ht="15.95" customHeight="1">
      <c r="A16">
        <v>4</v>
      </c>
      <c r="B16" s="22" t="s">
        <v>884</v>
      </c>
      <c r="C16" s="19">
        <v>7</v>
      </c>
      <c r="D16" s="18" t="s">
        <v>874</v>
      </c>
      <c r="E16" t="s">
        <v>936</v>
      </c>
      <c r="F16" t="s">
        <v>1006</v>
      </c>
      <c r="G16" t="str">
        <f>CONCATENATE("[","http://atom.kaeri.re.kr/cgi-bin/nuclide?nuc=",B16,"-",C16," &lt;sub&gt;",C16,"&lt;/sub&gt;",B16,"]")</f>
        <v>[http://atom.kaeri.re.kr/cgi-bin/nuclide?nuc=Be-7 &lt;sub&gt;7&lt;/sub&gt;Be]</v>
      </c>
      <c r="H16" t="str">
        <f>CONCATENATE(D16," % || ",E16)</f>
        <v>- % || 53 Tage</v>
      </c>
      <c r="I16" t="str">
        <f>CONCATENATE(" | ",G16," || ",H16," || ",F16)</f>
        <v xml:space="preserve"> | [http://atom.kaeri.re.kr/cgi-bin/nuclide?nuc=Be-7 &lt;sub&gt;7&lt;/sub&gt;Be] || - % || 53 Tage || [[radioaktiv]], kosmogen</v>
      </c>
      <c r="J16"/>
      <c r="K16"/>
      <c r="L16"/>
      <c r="M16"/>
      <c r="N16" t="str">
        <f>CONCATENATE(I16,"&lt;br&gt;"," |-")</f>
        <v xml:space="preserve"> | [http://atom.kaeri.re.kr/cgi-bin/nuclide?nuc=Be-7 &lt;sub&gt;7&lt;/sub&gt;Be] || - % || 53 Tage || [[radioaktiv]], kosmogen&lt;br&gt; |-</v>
      </c>
    </row>
    <row r="17" spans="1:14" ht="15.95" customHeight="1">
      <c r="A17" s="17">
        <v>4</v>
      </c>
      <c r="B17" s="21" t="s">
        <v>884</v>
      </c>
      <c r="C17" s="17">
        <v>9</v>
      </c>
      <c r="D17" s="17">
        <v>100</v>
      </c>
      <c r="E17" t="s">
        <v>981</v>
      </c>
      <c r="G17" t="str">
        <f>CONCATENATE("[","http://atom.kaeri.re.kr/cgi-bin/nuclide?nuc=",B17,"-",C17," &lt;sub&gt;",C17,"&lt;/sub&gt;",B17,"]")</f>
        <v>[http://atom.kaeri.re.kr/cgi-bin/nuclide?nuc=Be-9 &lt;sub&gt;9&lt;/sub&gt;Be]</v>
      </c>
      <c r="H17" t="str">
        <f>CONCATENATE(D17," % || ",E17)</f>
        <v>100 % || stabil</v>
      </c>
      <c r="I17" t="str">
        <f>CONCATENATE(" | ",G17," || ",H17," || ",F17)</f>
        <v xml:space="preserve"> | [http://atom.kaeri.re.kr/cgi-bin/nuclide?nuc=Be-9 &lt;sub&gt;9&lt;/sub&gt;Be] || 100 % || stabil || </v>
      </c>
      <c r="N17" t="str">
        <f>CONCATENATE(I17,"&lt;br&gt;"," |-")</f>
        <v xml:space="preserve"> | [http://atom.kaeri.re.kr/cgi-bin/nuclide?nuc=Be-9 &lt;sub&gt;9&lt;/sub&gt;Be] || 100 % || stabil || &lt;br&gt; |-</v>
      </c>
    </row>
    <row r="18" spans="1:14" ht="15.95" customHeight="1">
      <c r="A18">
        <v>4</v>
      </c>
      <c r="B18" s="23" t="s">
        <v>884</v>
      </c>
      <c r="C18">
        <v>999</v>
      </c>
      <c r="D18" t="s">
        <v>885</v>
      </c>
      <c r="E18" t="s">
        <v>981</v>
      </c>
      <c r="N18" t="str">
        <f>CONCATENATE(" |}&lt;br&gt;* [http://atom.kaeri.re.kr/cgi-bin/nuclide?nuc=",B18," alle bekannten ",D18,"-Isotope]")</f>
        <v xml:space="preserve"> |}&lt;br&gt;* [http://atom.kaeri.re.kr/cgi-bin/nuclide?nuc=Be alle bekannten Beryllium-Isotope]</v>
      </c>
    </row>
    <row r="19" spans="1:14" ht="15.95" customHeight="1">
      <c r="A19">
        <v>5</v>
      </c>
      <c r="B19" s="23" t="s">
        <v>889</v>
      </c>
      <c r="C19" s="17">
        <v>0</v>
      </c>
      <c r="D19" t="s">
        <v>890</v>
      </c>
      <c r="E19" t="s">
        <v>981</v>
      </c>
      <c r="N19" t="str">
        <f>CONCATENATE("=== [[",D19,"]] ===&lt;br&gt;{| {{tabelle}}&lt;br&gt;! Isotop !! ",$D$1," !! [[",$E$1,"]] !! ",$F$1," &lt;br&gt; |-")</f>
        <v>=== [[Bor]] ===&lt;br&gt;{| {{tabelle}}&lt;br&gt;! Isotop !! natürliche Häufigkeit !! [[Halbwertszeit]] !! Herkunft, techn. Bedeutung &lt;br&gt; |-</v>
      </c>
    </row>
    <row r="20" spans="1:14" ht="15.95" customHeight="1">
      <c r="A20" s="17">
        <v>5</v>
      </c>
      <c r="B20" s="21" t="s">
        <v>889</v>
      </c>
      <c r="C20" s="17">
        <v>10</v>
      </c>
      <c r="D20" s="17">
        <v>19.899999999999999</v>
      </c>
      <c r="E20" t="s">
        <v>981</v>
      </c>
      <c r="G20" t="str">
        <f>CONCATENATE("[","http://atom.kaeri.re.kr/cgi-bin/nuclide?nuc=",B20,"-",C20," &lt;sub&gt;",C20,"&lt;/sub&gt;",B20,"]")</f>
        <v>[http://atom.kaeri.re.kr/cgi-bin/nuclide?nuc=B-10 &lt;sub&gt;10&lt;/sub&gt;B]</v>
      </c>
      <c r="H20" t="str">
        <f>CONCATENATE(D20," % || ",E20)</f>
        <v>19,9 % || stabil</v>
      </c>
      <c r="I20" t="str">
        <f>CONCATENATE(" | ",G20," || ",H20," || ",F20)</f>
        <v xml:space="preserve"> | [http://atom.kaeri.re.kr/cgi-bin/nuclide?nuc=B-10 &lt;sub&gt;10&lt;/sub&gt;B] || 19,9 % || stabil || </v>
      </c>
      <c r="N20" t="str">
        <f>CONCATENATE(I20,"&lt;br&gt;"," |-")</f>
        <v xml:space="preserve"> | [http://atom.kaeri.re.kr/cgi-bin/nuclide?nuc=B-10 &lt;sub&gt;10&lt;/sub&gt;B] || 19,9 % || stabil || &lt;br&gt; |-</v>
      </c>
    </row>
    <row r="21" spans="1:14" ht="15.95" customHeight="1">
      <c r="A21" s="17">
        <v>5</v>
      </c>
      <c r="B21" s="21" t="s">
        <v>889</v>
      </c>
      <c r="C21" s="17">
        <v>11</v>
      </c>
      <c r="D21" s="17">
        <v>80.099999999999994</v>
      </c>
      <c r="E21" t="s">
        <v>981</v>
      </c>
      <c r="G21" t="str">
        <f>CONCATENATE("[","http://atom.kaeri.re.kr/cgi-bin/nuclide?nuc=",B21,"-",C21," &lt;sub&gt;",C21,"&lt;/sub&gt;",B21,"]")</f>
        <v>[http://atom.kaeri.re.kr/cgi-bin/nuclide?nuc=B-11 &lt;sub&gt;11&lt;/sub&gt;B]</v>
      </c>
      <c r="H21" t="str">
        <f>CONCATENATE(D21," % || ",E21)</f>
        <v>80,1 % || stabil</v>
      </c>
      <c r="I21" t="str">
        <f>CONCATENATE(" | ",G21," || ",H21," || ",F21)</f>
        <v xml:space="preserve"> | [http://atom.kaeri.re.kr/cgi-bin/nuclide?nuc=B-11 &lt;sub&gt;11&lt;/sub&gt;B] || 80,1 % || stabil || </v>
      </c>
      <c r="N21" t="str">
        <f>CONCATENATE(I21,"&lt;br&gt;"," |-")</f>
        <v xml:space="preserve"> | [http://atom.kaeri.re.kr/cgi-bin/nuclide?nuc=B-11 &lt;sub&gt;11&lt;/sub&gt;B] || 80,1 % || stabil || &lt;br&gt; |-</v>
      </c>
    </row>
    <row r="22" spans="1:14" ht="15.95" customHeight="1">
      <c r="A22">
        <v>5</v>
      </c>
      <c r="B22" s="23" t="s">
        <v>889</v>
      </c>
      <c r="C22">
        <v>999</v>
      </c>
      <c r="D22" t="s">
        <v>890</v>
      </c>
      <c r="E22" t="s">
        <v>981</v>
      </c>
      <c r="N22" t="str">
        <f>CONCATENATE(" |}&lt;br&gt;* [http://atom.kaeri.re.kr/cgi-bin/nuclide?nuc=",B22," alle bekannten ",D22,"-Isotope]")</f>
        <v xml:space="preserve"> |}&lt;br&gt;* [http://atom.kaeri.re.kr/cgi-bin/nuclide?nuc=B alle bekannten Bor-Isotope]</v>
      </c>
    </row>
    <row r="23" spans="1:14" ht="15.95" customHeight="1">
      <c r="A23">
        <v>6</v>
      </c>
      <c r="B23" s="23" t="s">
        <v>893</v>
      </c>
      <c r="C23" s="17">
        <v>0</v>
      </c>
      <c r="D23" t="s">
        <v>894</v>
      </c>
      <c r="E23" t="s">
        <v>981</v>
      </c>
      <c r="N23" t="str">
        <f>CONCATENATE("=== [[",D23,"]] ===&lt;br&gt;{| {{tabelle}}&lt;br&gt;! Isotop !! ",$D$1," !! [[",$E$1,"]] !! ",$F$1," &lt;br&gt; |-")</f>
        <v>=== [[Kohlenstoff]] ===&lt;br&gt;{| {{tabelle}}&lt;br&gt;! Isotop !! natürliche Häufigkeit !! [[Halbwertszeit]] !! Herkunft, techn. Bedeutung &lt;br&gt; |-</v>
      </c>
    </row>
    <row r="24" spans="1:14" ht="15.95" customHeight="1">
      <c r="A24" s="17">
        <v>6</v>
      </c>
      <c r="B24" s="21" t="s">
        <v>893</v>
      </c>
      <c r="C24" s="17">
        <v>12</v>
      </c>
      <c r="D24" s="17">
        <v>98.93</v>
      </c>
      <c r="E24" t="s">
        <v>981</v>
      </c>
      <c r="G24" t="str">
        <f>CONCATENATE("[","http://atom.kaeri.re.kr/cgi-bin/nuclide?nuc=",B24,"-",C24," &lt;sub&gt;",C24,"&lt;/sub&gt;",B24,"]")</f>
        <v>[http://atom.kaeri.re.kr/cgi-bin/nuclide?nuc=C-12 &lt;sub&gt;12&lt;/sub&gt;C]</v>
      </c>
      <c r="H24" t="str">
        <f>CONCATENATE(D24," % || ",E24)</f>
        <v>98,93 % || stabil</v>
      </c>
      <c r="I24" t="str">
        <f>CONCATENATE(" | ",G24," || ",H24," || ",F24)</f>
        <v xml:space="preserve"> | [http://atom.kaeri.re.kr/cgi-bin/nuclide?nuc=C-12 &lt;sub&gt;12&lt;/sub&gt;C] || 98,93 % || stabil || </v>
      </c>
      <c r="N24" t="str">
        <f>CONCATENATE(I24,"&lt;br&gt;"," |-")</f>
        <v xml:space="preserve"> | [http://atom.kaeri.re.kr/cgi-bin/nuclide?nuc=C-12 &lt;sub&gt;12&lt;/sub&gt;C] || 98,93 % || stabil || &lt;br&gt; |-</v>
      </c>
    </row>
    <row r="25" spans="1:14" ht="15.95" customHeight="1">
      <c r="A25" s="17">
        <v>6</v>
      </c>
      <c r="B25" s="21" t="s">
        <v>893</v>
      </c>
      <c r="C25" s="17">
        <v>13</v>
      </c>
      <c r="D25" s="17">
        <v>1.07</v>
      </c>
      <c r="E25" t="s">
        <v>981</v>
      </c>
      <c r="G25" t="str">
        <f>CONCATENATE("[","http://atom.kaeri.re.kr/cgi-bin/nuclide?nuc=",B25,"-",C25," &lt;sub&gt;",C25,"&lt;/sub&gt;",B25,"]")</f>
        <v>[http://atom.kaeri.re.kr/cgi-bin/nuclide?nuc=C-13 &lt;sub&gt;13&lt;/sub&gt;C]</v>
      </c>
      <c r="H25" t="str">
        <f>CONCATENATE(D25," % || ",E25)</f>
        <v>1,07 % || stabil</v>
      </c>
      <c r="I25" t="str">
        <f>CONCATENATE(" | ",G25," || ",H25," || ",F25)</f>
        <v xml:space="preserve"> | [http://atom.kaeri.re.kr/cgi-bin/nuclide?nuc=C-13 &lt;sub&gt;13&lt;/sub&gt;C] || 1,07 % || stabil || </v>
      </c>
      <c r="N25" t="str">
        <f>CONCATENATE(I25,"&lt;br&gt;"," |-")</f>
        <v xml:space="preserve"> | [http://atom.kaeri.re.kr/cgi-bin/nuclide?nuc=C-13 &lt;sub&gt;13&lt;/sub&gt;C] || 1,07 % || stabil || &lt;br&gt; |-</v>
      </c>
    </row>
    <row r="26" spans="1:14" s="18" customFormat="1" ht="15.95" customHeight="1">
      <c r="A26" s="17">
        <v>6</v>
      </c>
      <c r="B26" s="22" t="s">
        <v>893</v>
      </c>
      <c r="C26" s="19">
        <v>14</v>
      </c>
      <c r="D26" s="26">
        <v>2.0000000000000001E-9</v>
      </c>
      <c r="E26" t="s">
        <v>937</v>
      </c>
      <c r="F26" t="s">
        <v>1008</v>
      </c>
      <c r="G26" t="str">
        <f>CONCATENATE("[","http://atom.kaeri.re.kr/cgi-bin/nuclide?nuc=",B26,"-",C26," &lt;sub&gt;",C26,"&lt;/sub&gt;",B26,"]")</f>
        <v>[http://atom.kaeri.re.kr/cgi-bin/nuclide?nuc=C-14 &lt;sub&gt;14&lt;/sub&gt;C]</v>
      </c>
      <c r="H26" t="str">
        <f>CONCATENATE(D26," % || ",E26)</f>
        <v>0,000000002 % || 5730 Jahre</v>
      </c>
      <c r="I26" t="str">
        <f>CONCATENATE(" | ",G26," || ",H26," || ",F26)</f>
        <v xml:space="preserve"> | [http://atom.kaeri.re.kr/cgi-bin/nuclide?nuc=C-14 &lt;sub&gt;14&lt;/sub&gt;C] || 0,000000002 % || 5730 Jahre || [[radioaktiv]], kosmogen, Kerntechnik, Medizin, [[Radiocarbonmethode]]</v>
      </c>
      <c r="J26"/>
      <c r="K26"/>
      <c r="L26"/>
      <c r="M26"/>
      <c r="N26" t="str">
        <f>CONCATENATE(I26,"&lt;br&gt;"," |-")</f>
        <v xml:space="preserve"> | [http://atom.kaeri.re.kr/cgi-bin/nuclide?nuc=C-14 &lt;sub&gt;14&lt;/sub&gt;C] || 0,000000002 % || 5730 Jahre || [[radioaktiv]], kosmogen, Kerntechnik, Medizin, [[Radiocarbonmethode]]&lt;br&gt; |-</v>
      </c>
    </row>
    <row r="27" spans="1:14" ht="15.95" customHeight="1">
      <c r="A27">
        <v>6</v>
      </c>
      <c r="B27" s="23" t="s">
        <v>893</v>
      </c>
      <c r="C27">
        <v>999</v>
      </c>
      <c r="D27" t="s">
        <v>894</v>
      </c>
      <c r="E27" t="s">
        <v>981</v>
      </c>
      <c r="N27" t="str">
        <f>CONCATENATE(" |}&lt;br&gt;* [http://atom.kaeri.re.kr/cgi-bin/nuclide?nuc=",B27," alle bekannten ",D27,"-Isotope]")</f>
        <v xml:space="preserve"> |}&lt;br&gt;* [http://atom.kaeri.re.kr/cgi-bin/nuclide?nuc=C alle bekannten Kohlenstoff-Isotope]</v>
      </c>
    </row>
    <row r="28" spans="1:14" ht="15.95" customHeight="1">
      <c r="A28">
        <v>7</v>
      </c>
      <c r="B28" s="23" t="s">
        <v>897</v>
      </c>
      <c r="C28" s="17">
        <v>0</v>
      </c>
      <c r="D28" t="s">
        <v>898</v>
      </c>
      <c r="E28" t="s">
        <v>981</v>
      </c>
      <c r="N28" t="str">
        <f>CONCATENATE("=== [[",D28,"]] ===&lt;br&gt;{| {{tabelle}}&lt;br&gt;! Isotop !! ",$D$1," !! [[",$E$1,"]] !! ",$F$1," &lt;br&gt; |-")</f>
        <v>=== [[Stickstoff]] ===&lt;br&gt;{| {{tabelle}}&lt;br&gt;! Isotop !! natürliche Häufigkeit !! [[Halbwertszeit]] !! Herkunft, techn. Bedeutung &lt;br&gt; |-</v>
      </c>
    </row>
    <row r="29" spans="1:14" ht="15.95" customHeight="1">
      <c r="A29" s="17">
        <v>7</v>
      </c>
      <c r="B29" s="21" t="s">
        <v>897</v>
      </c>
      <c r="C29" s="17">
        <v>14</v>
      </c>
      <c r="D29" s="17">
        <v>99.632000000000005</v>
      </c>
      <c r="E29" t="s">
        <v>981</v>
      </c>
      <c r="G29" t="str">
        <f>CONCATENATE("[","http://atom.kaeri.re.kr/cgi-bin/nuclide?nuc=",B29,"-",C29," &lt;sub&gt;",C29,"&lt;/sub&gt;",B29,"]")</f>
        <v>[http://atom.kaeri.re.kr/cgi-bin/nuclide?nuc=N-14 &lt;sub&gt;14&lt;/sub&gt;N]</v>
      </c>
      <c r="H29" t="str">
        <f>CONCATENATE(D29," % || ",E29)</f>
        <v>99,632 % || stabil</v>
      </c>
      <c r="I29" t="str">
        <f>CONCATENATE(" | ",G29," || ",H29," || ",F29)</f>
        <v xml:space="preserve"> | [http://atom.kaeri.re.kr/cgi-bin/nuclide?nuc=N-14 &lt;sub&gt;14&lt;/sub&gt;N] || 99,632 % || stabil || </v>
      </c>
      <c r="N29" t="str">
        <f>CONCATENATE(I29,"&lt;br&gt;"," |-")</f>
        <v xml:space="preserve"> | [http://atom.kaeri.re.kr/cgi-bin/nuclide?nuc=N-14 &lt;sub&gt;14&lt;/sub&gt;N] || 99,632 % || stabil || &lt;br&gt; |-</v>
      </c>
    </row>
    <row r="30" spans="1:14" ht="15.95" customHeight="1">
      <c r="A30" s="17">
        <v>7</v>
      </c>
      <c r="B30" s="21" t="s">
        <v>897</v>
      </c>
      <c r="C30" s="17">
        <v>15</v>
      </c>
      <c r="D30" s="17">
        <v>0.36799999999999999</v>
      </c>
      <c r="E30" t="s">
        <v>981</v>
      </c>
      <c r="G30" t="str">
        <f>CONCATENATE("[","http://atom.kaeri.re.kr/cgi-bin/nuclide?nuc=",B30,"-",C30," &lt;sub&gt;",C30,"&lt;/sub&gt;",B30,"]")</f>
        <v>[http://atom.kaeri.re.kr/cgi-bin/nuclide?nuc=N-15 &lt;sub&gt;15&lt;/sub&gt;N]</v>
      </c>
      <c r="H30" t="str">
        <f>CONCATENATE(D30," % || ",E30)</f>
        <v>0,368 % || stabil</v>
      </c>
      <c r="I30" t="str">
        <f>CONCATENATE(" | ",G30," || ",H30," || ",F30)</f>
        <v xml:space="preserve"> | [http://atom.kaeri.re.kr/cgi-bin/nuclide?nuc=N-15 &lt;sub&gt;15&lt;/sub&gt;N] || 0,368 % || stabil || </v>
      </c>
      <c r="N30" t="str">
        <f>CONCATENATE(I30,"&lt;br&gt;"," |-")</f>
        <v xml:space="preserve"> | [http://atom.kaeri.re.kr/cgi-bin/nuclide?nuc=N-15 &lt;sub&gt;15&lt;/sub&gt;N] || 0,368 % || stabil || &lt;br&gt; |-</v>
      </c>
    </row>
    <row r="31" spans="1:14" ht="15.95" customHeight="1">
      <c r="A31">
        <v>7</v>
      </c>
      <c r="B31" s="23" t="s">
        <v>897</v>
      </c>
      <c r="C31">
        <v>999</v>
      </c>
      <c r="D31" t="s">
        <v>898</v>
      </c>
      <c r="E31" t="s">
        <v>981</v>
      </c>
      <c r="N31" t="str">
        <f>CONCATENATE(" |}&lt;br&gt;* [http://atom.kaeri.re.kr/cgi-bin/nuclide?nuc=",B31," alle bekannten ",D31,"-Isotope]")</f>
        <v xml:space="preserve"> |}&lt;br&gt;* [http://atom.kaeri.re.kr/cgi-bin/nuclide?nuc=N alle bekannten Stickstoff-Isotope]</v>
      </c>
    </row>
    <row r="32" spans="1:14" ht="15.95" customHeight="1">
      <c r="A32">
        <v>8</v>
      </c>
      <c r="B32" s="23" t="s">
        <v>900</v>
      </c>
      <c r="C32" s="17">
        <v>0</v>
      </c>
      <c r="D32" t="s">
        <v>901</v>
      </c>
      <c r="E32" t="s">
        <v>981</v>
      </c>
      <c r="N32" t="str">
        <f>CONCATENATE("=== [[",D32,"]] ===&lt;br&gt;{| {{tabelle}}&lt;br&gt;! Isotop !! ",$D$1," !! [[",$E$1,"]] !! ",$F$1," &lt;br&gt; |-")</f>
        <v>=== [[Sauerstoff]] ===&lt;br&gt;{| {{tabelle}}&lt;br&gt;! Isotop !! natürliche Häufigkeit !! [[Halbwertszeit]] !! Herkunft, techn. Bedeutung &lt;br&gt; |-</v>
      </c>
    </row>
    <row r="33" spans="1:14" ht="15.95" customHeight="1">
      <c r="A33" s="17">
        <v>8</v>
      </c>
      <c r="B33" s="21" t="s">
        <v>900</v>
      </c>
      <c r="C33" s="17">
        <v>16</v>
      </c>
      <c r="D33" s="17">
        <v>99.757000000000005</v>
      </c>
      <c r="E33" t="s">
        <v>981</v>
      </c>
      <c r="G33" t="str">
        <f>CONCATENATE("[","http://atom.kaeri.re.kr/cgi-bin/nuclide?nuc=",B33,"-",C33," &lt;sub&gt;",C33,"&lt;/sub&gt;",B33,"]")</f>
        <v>[http://atom.kaeri.re.kr/cgi-bin/nuclide?nuc=O-16 &lt;sub&gt;16&lt;/sub&gt;O]</v>
      </c>
      <c r="H33" t="str">
        <f>CONCATENATE(D33," % || ",E33)</f>
        <v>99,757 % || stabil</v>
      </c>
      <c r="I33" t="str">
        <f>CONCATENATE(" | ",G33," || ",H33," || ",F33)</f>
        <v xml:space="preserve"> | [http://atom.kaeri.re.kr/cgi-bin/nuclide?nuc=O-16 &lt;sub&gt;16&lt;/sub&gt;O] || 99,757 % || stabil || </v>
      </c>
      <c r="N33" t="str">
        <f>CONCATENATE(I33,"&lt;br&gt;"," |-")</f>
        <v xml:space="preserve"> | [http://atom.kaeri.re.kr/cgi-bin/nuclide?nuc=O-16 &lt;sub&gt;16&lt;/sub&gt;O] || 99,757 % || stabil || &lt;br&gt; |-</v>
      </c>
    </row>
    <row r="34" spans="1:14" ht="15.95" customHeight="1">
      <c r="A34" s="17">
        <v>8</v>
      </c>
      <c r="B34" s="21" t="s">
        <v>900</v>
      </c>
      <c r="C34" s="17">
        <v>17</v>
      </c>
      <c r="D34" s="17">
        <v>3.7999999999999999E-2</v>
      </c>
      <c r="E34" t="s">
        <v>981</v>
      </c>
      <c r="G34" t="str">
        <f>CONCATENATE("[","http://atom.kaeri.re.kr/cgi-bin/nuclide?nuc=",B34,"-",C34," &lt;sub&gt;",C34,"&lt;/sub&gt;",B34,"]")</f>
        <v>[http://atom.kaeri.re.kr/cgi-bin/nuclide?nuc=O-17 &lt;sub&gt;17&lt;/sub&gt;O]</v>
      </c>
      <c r="H34" t="str">
        <f>CONCATENATE(D34," % || ",E34)</f>
        <v>0,038 % || stabil</v>
      </c>
      <c r="I34" t="str">
        <f>CONCATENATE(" | ",G34," || ",H34," || ",F34)</f>
        <v xml:space="preserve"> | [http://atom.kaeri.re.kr/cgi-bin/nuclide?nuc=O-17 &lt;sub&gt;17&lt;/sub&gt;O] || 0,038 % || stabil || </v>
      </c>
      <c r="N34" t="str">
        <f>CONCATENATE(I34,"&lt;br&gt;"," |-")</f>
        <v xml:space="preserve"> | [http://atom.kaeri.re.kr/cgi-bin/nuclide?nuc=O-17 &lt;sub&gt;17&lt;/sub&gt;O] || 0,038 % || stabil || &lt;br&gt; |-</v>
      </c>
    </row>
    <row r="35" spans="1:14" ht="15.95" customHeight="1">
      <c r="A35" s="17">
        <v>8</v>
      </c>
      <c r="B35" s="21" t="s">
        <v>900</v>
      </c>
      <c r="C35" s="17">
        <v>18</v>
      </c>
      <c r="D35" s="17">
        <v>0.20499999999999999</v>
      </c>
      <c r="E35" t="s">
        <v>981</v>
      </c>
      <c r="G35" t="str">
        <f>CONCATENATE("[","http://atom.kaeri.re.kr/cgi-bin/nuclide?nuc=",B35,"-",C35," &lt;sub&gt;",C35,"&lt;/sub&gt;",B35,"]")</f>
        <v>[http://atom.kaeri.re.kr/cgi-bin/nuclide?nuc=O-18 &lt;sub&gt;18&lt;/sub&gt;O]</v>
      </c>
      <c r="H35" t="str">
        <f>CONCATENATE(D35," % || ",E35)</f>
        <v>0,205 % || stabil</v>
      </c>
      <c r="I35" t="str">
        <f>CONCATENATE(" | ",G35," || ",H35," || ",F35)</f>
        <v xml:space="preserve"> | [http://atom.kaeri.re.kr/cgi-bin/nuclide?nuc=O-18 &lt;sub&gt;18&lt;/sub&gt;O] || 0,205 % || stabil || </v>
      </c>
      <c r="N35" t="str">
        <f>CONCATENATE(I35,"&lt;br&gt;"," |-")</f>
        <v xml:space="preserve"> | [http://atom.kaeri.re.kr/cgi-bin/nuclide?nuc=O-18 &lt;sub&gt;18&lt;/sub&gt;O] || 0,205 % || stabil || &lt;br&gt; |-</v>
      </c>
    </row>
    <row r="36" spans="1:14" ht="15.95" customHeight="1">
      <c r="A36">
        <v>8</v>
      </c>
      <c r="B36" s="23" t="s">
        <v>900</v>
      </c>
      <c r="C36">
        <v>999</v>
      </c>
      <c r="D36" t="s">
        <v>901</v>
      </c>
      <c r="E36" t="s">
        <v>981</v>
      </c>
      <c r="N36" t="str">
        <f>CONCATENATE(" |}&lt;br&gt;* [http://atom.kaeri.re.kr/cgi-bin/nuclide?nuc=",B36," alle bekannten ",D36,"-Isotope]")</f>
        <v xml:space="preserve"> |}&lt;br&gt;* [http://atom.kaeri.re.kr/cgi-bin/nuclide?nuc=O alle bekannten Sauerstoff-Isotope]</v>
      </c>
    </row>
    <row r="37" spans="1:14" ht="15.95" customHeight="1">
      <c r="A37">
        <v>9</v>
      </c>
      <c r="B37" s="23" t="s">
        <v>903</v>
      </c>
      <c r="C37" s="17">
        <v>0</v>
      </c>
      <c r="D37" t="s">
        <v>904</v>
      </c>
      <c r="E37" t="s">
        <v>981</v>
      </c>
      <c r="N37" t="str">
        <f>CONCATENATE("=== [[",D37,"]] ===&lt;br&gt;{| {{tabelle}}&lt;br&gt;! Isotop !! ",$D$1," !! [[",$E$1,"]] !! ",$F$1," &lt;br&gt; |-")</f>
        <v>=== [[Fluor]] ===&lt;br&gt;{| {{tabelle}}&lt;br&gt;! Isotop !! natürliche Häufigkeit !! [[Halbwertszeit]] !! Herkunft, techn. Bedeutung &lt;br&gt; |-</v>
      </c>
    </row>
    <row r="38" spans="1:14" ht="15.95" customHeight="1">
      <c r="A38" s="17">
        <v>9</v>
      </c>
      <c r="B38" s="21" t="s">
        <v>903</v>
      </c>
      <c r="C38" s="17">
        <v>19</v>
      </c>
      <c r="D38" s="17">
        <v>100</v>
      </c>
      <c r="E38" t="s">
        <v>981</v>
      </c>
      <c r="G38" t="str">
        <f>CONCATENATE("[","http://atom.kaeri.re.kr/cgi-bin/nuclide?nuc=",B38,"-",C38," &lt;sub&gt;",C38,"&lt;/sub&gt;",B38,"]")</f>
        <v>[http://atom.kaeri.re.kr/cgi-bin/nuclide?nuc=F-19 &lt;sub&gt;19&lt;/sub&gt;F]</v>
      </c>
      <c r="H38" t="str">
        <f>CONCATENATE(D38," % || ",E38)</f>
        <v>100 % || stabil</v>
      </c>
      <c r="I38" t="str">
        <f>CONCATENATE(" | ",G38," || ",H38," || ",F38)</f>
        <v xml:space="preserve"> | [http://atom.kaeri.re.kr/cgi-bin/nuclide?nuc=F-19 &lt;sub&gt;19&lt;/sub&gt;F] || 100 % || stabil || </v>
      </c>
      <c r="N38" t="str">
        <f>CONCATENATE(I38,"&lt;br&gt;"," |-")</f>
        <v xml:space="preserve"> | [http://atom.kaeri.re.kr/cgi-bin/nuclide?nuc=F-19 &lt;sub&gt;19&lt;/sub&gt;F] || 100 % || stabil || &lt;br&gt; |-</v>
      </c>
    </row>
    <row r="39" spans="1:14" ht="15.95" customHeight="1">
      <c r="A39">
        <v>9</v>
      </c>
      <c r="B39" s="23" t="s">
        <v>903</v>
      </c>
      <c r="C39">
        <v>999</v>
      </c>
      <c r="D39" t="s">
        <v>904</v>
      </c>
      <c r="E39" t="s">
        <v>981</v>
      </c>
      <c r="N39" t="str">
        <f>CONCATENATE(" |}&lt;br&gt;* [http://atom.kaeri.re.kr/cgi-bin/nuclide?nuc=",B39," alle bekannten ",D39,"-Isotope]")</f>
        <v xml:space="preserve"> |}&lt;br&gt;* [http://atom.kaeri.re.kr/cgi-bin/nuclide?nuc=F alle bekannten Fluor-Isotope]</v>
      </c>
    </row>
    <row r="40" spans="1:14" ht="15.95" customHeight="1">
      <c r="A40">
        <v>10</v>
      </c>
      <c r="B40" s="23" t="s">
        <v>906</v>
      </c>
      <c r="C40" s="17">
        <v>0</v>
      </c>
      <c r="D40" t="s">
        <v>907</v>
      </c>
      <c r="E40" t="s">
        <v>981</v>
      </c>
      <c r="N40" t="str">
        <f>CONCATENATE("=== [[",D40,"]] ===&lt;br&gt;{| {{tabelle}}&lt;br&gt;! Isotop !! ",$D$1," !! [[",$E$1,"]] !! ",$F$1," &lt;br&gt; |-")</f>
        <v>=== [[Neon]] ===&lt;br&gt;{| {{tabelle}}&lt;br&gt;! Isotop !! natürliche Häufigkeit !! [[Halbwertszeit]] !! Herkunft, techn. Bedeutung &lt;br&gt; |-</v>
      </c>
    </row>
    <row r="41" spans="1:14" ht="15.95" customHeight="1">
      <c r="A41" s="17">
        <v>10</v>
      </c>
      <c r="B41" s="21" t="s">
        <v>906</v>
      </c>
      <c r="C41" s="17">
        <v>20</v>
      </c>
      <c r="D41" s="17">
        <v>90.48</v>
      </c>
      <c r="E41" t="s">
        <v>981</v>
      </c>
      <c r="G41" t="str">
        <f>CONCATENATE("[","http://atom.kaeri.re.kr/cgi-bin/nuclide?nuc=",B41,"-",C41," &lt;sub&gt;",C41,"&lt;/sub&gt;",B41,"]")</f>
        <v>[http://atom.kaeri.re.kr/cgi-bin/nuclide?nuc=Ne-20 &lt;sub&gt;20&lt;/sub&gt;Ne]</v>
      </c>
      <c r="H41" t="str">
        <f>CONCATENATE(D41," % || ",E41)</f>
        <v>90,48 % || stabil</v>
      </c>
      <c r="I41" t="str">
        <f>CONCATENATE(" | ",G41," || ",H41," || ",F41)</f>
        <v xml:space="preserve"> | [http://atom.kaeri.re.kr/cgi-bin/nuclide?nuc=Ne-20 &lt;sub&gt;20&lt;/sub&gt;Ne] || 90,48 % || stabil || </v>
      </c>
      <c r="N41" t="str">
        <f>CONCATENATE(I41,"&lt;br&gt;"," |-")</f>
        <v xml:space="preserve"> | [http://atom.kaeri.re.kr/cgi-bin/nuclide?nuc=Ne-20 &lt;sub&gt;20&lt;/sub&gt;Ne] || 90,48 % || stabil || &lt;br&gt; |-</v>
      </c>
    </row>
    <row r="42" spans="1:14" ht="15.95" customHeight="1">
      <c r="A42" s="17">
        <v>10</v>
      </c>
      <c r="B42" s="21" t="s">
        <v>906</v>
      </c>
      <c r="C42" s="17">
        <v>21</v>
      </c>
      <c r="D42" s="17">
        <v>0.27</v>
      </c>
      <c r="E42" t="s">
        <v>981</v>
      </c>
      <c r="G42" t="str">
        <f>CONCATENATE("[","http://atom.kaeri.re.kr/cgi-bin/nuclide?nuc=",B42,"-",C42," &lt;sub&gt;",C42,"&lt;/sub&gt;",B42,"]")</f>
        <v>[http://atom.kaeri.re.kr/cgi-bin/nuclide?nuc=Ne-21 &lt;sub&gt;21&lt;/sub&gt;Ne]</v>
      </c>
      <c r="H42" t="str">
        <f>CONCATENATE(D42," % || ",E42)</f>
        <v>0,27 % || stabil</v>
      </c>
      <c r="I42" t="str">
        <f>CONCATENATE(" | ",G42," || ",H42," || ",F42)</f>
        <v xml:space="preserve"> | [http://atom.kaeri.re.kr/cgi-bin/nuclide?nuc=Ne-21 &lt;sub&gt;21&lt;/sub&gt;Ne] || 0,27 % || stabil || </v>
      </c>
      <c r="N42" t="str">
        <f>CONCATENATE(I42,"&lt;br&gt;"," |-")</f>
        <v xml:space="preserve"> | [http://atom.kaeri.re.kr/cgi-bin/nuclide?nuc=Ne-21 &lt;sub&gt;21&lt;/sub&gt;Ne] || 0,27 % || stabil || &lt;br&gt; |-</v>
      </c>
    </row>
    <row r="43" spans="1:14" ht="15.95" customHeight="1">
      <c r="A43" s="17">
        <v>10</v>
      </c>
      <c r="B43" s="21" t="s">
        <v>906</v>
      </c>
      <c r="C43" s="17">
        <v>22</v>
      </c>
      <c r="D43" s="17">
        <v>9.25</v>
      </c>
      <c r="E43" t="s">
        <v>981</v>
      </c>
      <c r="G43" t="str">
        <f>CONCATENATE("[","http://atom.kaeri.re.kr/cgi-bin/nuclide?nuc=",B43,"-",C43," &lt;sub&gt;",C43,"&lt;/sub&gt;",B43,"]")</f>
        <v>[http://atom.kaeri.re.kr/cgi-bin/nuclide?nuc=Ne-22 &lt;sub&gt;22&lt;/sub&gt;Ne]</v>
      </c>
      <c r="H43" t="str">
        <f>CONCATENATE(D43," % || ",E43)</f>
        <v>9,25 % || stabil</v>
      </c>
      <c r="I43" t="str">
        <f>CONCATENATE(" | ",G43," || ",H43," || ",F43)</f>
        <v xml:space="preserve"> | [http://atom.kaeri.re.kr/cgi-bin/nuclide?nuc=Ne-22 &lt;sub&gt;22&lt;/sub&gt;Ne] || 9,25 % || stabil || </v>
      </c>
      <c r="N43" t="str">
        <f>CONCATENATE(I43,"&lt;br&gt;"," |-")</f>
        <v xml:space="preserve"> | [http://atom.kaeri.re.kr/cgi-bin/nuclide?nuc=Ne-22 &lt;sub&gt;22&lt;/sub&gt;Ne] || 9,25 % || stabil || &lt;br&gt; |-</v>
      </c>
    </row>
    <row r="44" spans="1:14" ht="15.95" customHeight="1">
      <c r="A44">
        <v>10</v>
      </c>
      <c r="B44" s="23" t="s">
        <v>906</v>
      </c>
      <c r="C44">
        <v>999</v>
      </c>
      <c r="D44" t="s">
        <v>907</v>
      </c>
      <c r="E44" t="s">
        <v>981</v>
      </c>
      <c r="N44" t="str">
        <f>CONCATENATE(" |}&lt;br&gt;* [http://atom.kaeri.re.kr/cgi-bin/nuclide?nuc=",B44," alle bekannten ",D44,"-Isotope]")</f>
        <v xml:space="preserve"> |}&lt;br&gt;* [http://atom.kaeri.re.kr/cgi-bin/nuclide?nuc=Ne alle bekannten Neon-Isotope]</v>
      </c>
    </row>
    <row r="45" spans="1:14" ht="15.95" customHeight="1">
      <c r="A45">
        <v>11</v>
      </c>
      <c r="B45" s="23" t="s">
        <v>908</v>
      </c>
      <c r="C45" s="17">
        <v>0</v>
      </c>
      <c r="D45" t="s">
        <v>909</v>
      </c>
      <c r="E45" t="s">
        <v>981</v>
      </c>
      <c r="N45" t="str">
        <f>CONCATENATE("=== [[",D45,"]] ===&lt;br&gt;{| {{tabelle}}&lt;br&gt;! Isotop !! ",$D$1," !! [[",$E$1,"]] !! ",$F$1," &lt;br&gt; |-")</f>
        <v>=== [[Natrium]] ===&lt;br&gt;{| {{tabelle}}&lt;br&gt;! Isotop !! natürliche Häufigkeit !! [[Halbwertszeit]] !! Herkunft, techn. Bedeutung &lt;br&gt; |-</v>
      </c>
    </row>
    <row r="46" spans="1:14" s="18" customFormat="1" ht="15.95" customHeight="1">
      <c r="A46">
        <v>11</v>
      </c>
      <c r="B46" s="22" t="s">
        <v>908</v>
      </c>
      <c r="C46" s="19">
        <v>22</v>
      </c>
      <c r="D46" s="18" t="s">
        <v>874</v>
      </c>
      <c r="E46" t="s">
        <v>938</v>
      </c>
      <c r="F46" t="s">
        <v>1006</v>
      </c>
      <c r="G46" t="str">
        <f>CONCATENATE("[","http://atom.kaeri.re.kr/cgi-bin/nuclide?nuc=",B46,"-",C46," &lt;sub&gt;",C46,"&lt;/sub&gt;",B46,"]")</f>
        <v>[http://atom.kaeri.re.kr/cgi-bin/nuclide?nuc=Na-22 &lt;sub&gt;22&lt;/sub&gt;Na]</v>
      </c>
      <c r="H46" t="str">
        <f>CONCATENATE(D46," % || ",E46)</f>
        <v>- % || 2,6 Jahre</v>
      </c>
      <c r="I46" t="str">
        <f>CONCATENATE(" | ",G46," || ",H46," || ",F46)</f>
        <v xml:space="preserve"> | [http://atom.kaeri.re.kr/cgi-bin/nuclide?nuc=Na-22 &lt;sub&gt;22&lt;/sub&gt;Na] || - % || 2,6 Jahre || [[radioaktiv]], kosmogen</v>
      </c>
      <c r="J46"/>
      <c r="K46"/>
      <c r="L46"/>
      <c r="M46"/>
      <c r="N46" t="str">
        <f>CONCATENATE(I46,"&lt;br&gt;"," |-")</f>
        <v xml:space="preserve"> | [http://atom.kaeri.re.kr/cgi-bin/nuclide?nuc=Na-22 &lt;sub&gt;22&lt;/sub&gt;Na] || - % || 2,6 Jahre || [[radioaktiv]], kosmogen&lt;br&gt; |-</v>
      </c>
    </row>
    <row r="47" spans="1:14" ht="15.95" customHeight="1">
      <c r="A47" s="17">
        <v>11</v>
      </c>
      <c r="B47" s="21" t="s">
        <v>908</v>
      </c>
      <c r="C47" s="17">
        <v>23</v>
      </c>
      <c r="D47" s="17">
        <v>100</v>
      </c>
      <c r="E47" t="s">
        <v>981</v>
      </c>
      <c r="G47" t="str">
        <f>CONCATENATE("[","http://atom.kaeri.re.kr/cgi-bin/nuclide?nuc=",B47,"-",C47," &lt;sub&gt;",C47,"&lt;/sub&gt;",B47,"]")</f>
        <v>[http://atom.kaeri.re.kr/cgi-bin/nuclide?nuc=Na-23 &lt;sub&gt;23&lt;/sub&gt;Na]</v>
      </c>
      <c r="H47" t="str">
        <f>CONCATENATE(D47," % || ",E47)</f>
        <v>100 % || stabil</v>
      </c>
      <c r="I47" t="str">
        <f>CONCATENATE(" | ",G47," || ",H47," || ",F47)</f>
        <v xml:space="preserve"> | [http://atom.kaeri.re.kr/cgi-bin/nuclide?nuc=Na-23 &lt;sub&gt;23&lt;/sub&gt;Na] || 100 % || stabil || </v>
      </c>
      <c r="N47" t="str">
        <f>CONCATENATE(I47,"&lt;br&gt;"," |-")</f>
        <v xml:space="preserve"> | [http://atom.kaeri.re.kr/cgi-bin/nuclide?nuc=Na-23 &lt;sub&gt;23&lt;/sub&gt;Na] || 100 % || stabil || &lt;br&gt; |-</v>
      </c>
    </row>
    <row r="48" spans="1:14" ht="15.95" customHeight="1">
      <c r="A48">
        <v>11</v>
      </c>
      <c r="B48" s="23" t="s">
        <v>908</v>
      </c>
      <c r="C48">
        <v>999</v>
      </c>
      <c r="D48" t="s">
        <v>909</v>
      </c>
      <c r="E48" t="s">
        <v>981</v>
      </c>
      <c r="N48" t="str">
        <f>CONCATENATE(" |}&lt;br&gt;* [http://atom.kaeri.re.kr/cgi-bin/nuclide?nuc=",B48," alle bekannten ",D48,"-Isotope]")</f>
        <v xml:space="preserve"> |}&lt;br&gt;* [http://atom.kaeri.re.kr/cgi-bin/nuclide?nuc=Na alle bekannten Natrium-Isotope]</v>
      </c>
    </row>
    <row r="49" spans="1:14" ht="15.95" customHeight="1">
      <c r="A49">
        <v>12</v>
      </c>
      <c r="B49" s="23" t="s">
        <v>912</v>
      </c>
      <c r="C49" s="17">
        <v>0</v>
      </c>
      <c r="D49" t="s">
        <v>913</v>
      </c>
      <c r="E49" t="s">
        <v>981</v>
      </c>
      <c r="N49" t="str">
        <f>CONCATENATE("=== [[",D49,"]] ===&lt;br&gt;{| {{tabelle}}&lt;br&gt;! Isotop !! ",$D$1," !! [[",$E$1,"]] !! ",$F$1," &lt;br&gt; |-")</f>
        <v>=== [[Magnesium]] ===&lt;br&gt;{| {{tabelle}}&lt;br&gt;! Isotop !! natürliche Häufigkeit !! [[Halbwertszeit]] !! Herkunft, techn. Bedeutung &lt;br&gt; |-</v>
      </c>
    </row>
    <row r="50" spans="1:14" ht="15.95" customHeight="1">
      <c r="A50" s="17">
        <v>12</v>
      </c>
      <c r="B50" s="21" t="s">
        <v>912</v>
      </c>
      <c r="C50" s="17">
        <v>24</v>
      </c>
      <c r="D50" s="17">
        <v>78.989999999999995</v>
      </c>
      <c r="E50" t="s">
        <v>981</v>
      </c>
      <c r="G50" t="str">
        <f>CONCATENATE("[","http://atom.kaeri.re.kr/cgi-bin/nuclide?nuc=",B50,"-",C50," &lt;sub&gt;",C50,"&lt;/sub&gt;",B50,"]")</f>
        <v>[http://atom.kaeri.re.kr/cgi-bin/nuclide?nuc=Mg-24 &lt;sub&gt;24&lt;/sub&gt;Mg]</v>
      </c>
      <c r="H50" t="str">
        <f>CONCATENATE(D50," % || ",E50)</f>
        <v>78,99 % || stabil</v>
      </c>
      <c r="I50" t="str">
        <f>CONCATENATE(" | ",G50," || ",H50," || ",F50)</f>
        <v xml:space="preserve"> | [http://atom.kaeri.re.kr/cgi-bin/nuclide?nuc=Mg-24 &lt;sub&gt;24&lt;/sub&gt;Mg] || 78,99 % || stabil || </v>
      </c>
      <c r="N50" t="str">
        <f>CONCATENATE(I50,"&lt;br&gt;"," |-")</f>
        <v xml:space="preserve"> | [http://atom.kaeri.re.kr/cgi-bin/nuclide?nuc=Mg-24 &lt;sub&gt;24&lt;/sub&gt;Mg] || 78,99 % || stabil || &lt;br&gt; |-</v>
      </c>
    </row>
    <row r="51" spans="1:14" ht="15.95" customHeight="1">
      <c r="A51" s="17">
        <v>12</v>
      </c>
      <c r="B51" s="21" t="s">
        <v>912</v>
      </c>
      <c r="C51" s="17">
        <v>25</v>
      </c>
      <c r="D51" s="17">
        <v>10</v>
      </c>
      <c r="E51" t="s">
        <v>981</v>
      </c>
      <c r="G51" t="str">
        <f>CONCATENATE("[","http://atom.kaeri.re.kr/cgi-bin/nuclide?nuc=",B51,"-",C51," &lt;sub&gt;",C51,"&lt;/sub&gt;",B51,"]")</f>
        <v>[http://atom.kaeri.re.kr/cgi-bin/nuclide?nuc=Mg-25 &lt;sub&gt;25&lt;/sub&gt;Mg]</v>
      </c>
      <c r="H51" t="str">
        <f>CONCATENATE(D51," % || ",E51)</f>
        <v>10 % || stabil</v>
      </c>
      <c r="I51" t="str">
        <f>CONCATENATE(" | ",G51," || ",H51," || ",F51)</f>
        <v xml:space="preserve"> | [http://atom.kaeri.re.kr/cgi-bin/nuclide?nuc=Mg-25 &lt;sub&gt;25&lt;/sub&gt;Mg] || 10 % || stabil || </v>
      </c>
      <c r="N51" t="str">
        <f>CONCATENATE(I51,"&lt;br&gt;"," |-")</f>
        <v xml:space="preserve"> | [http://atom.kaeri.re.kr/cgi-bin/nuclide?nuc=Mg-25 &lt;sub&gt;25&lt;/sub&gt;Mg] || 10 % || stabil || &lt;br&gt; |-</v>
      </c>
    </row>
    <row r="52" spans="1:14" ht="15.95" customHeight="1">
      <c r="A52" s="17">
        <v>12</v>
      </c>
      <c r="B52" s="21" t="s">
        <v>912</v>
      </c>
      <c r="C52" s="17">
        <v>26</v>
      </c>
      <c r="D52" s="17">
        <v>11.01</v>
      </c>
      <c r="E52" t="s">
        <v>981</v>
      </c>
      <c r="G52" t="str">
        <f>CONCATENATE("[","http://atom.kaeri.re.kr/cgi-bin/nuclide?nuc=",B52,"-",C52," &lt;sub&gt;",C52,"&lt;/sub&gt;",B52,"]")</f>
        <v>[http://atom.kaeri.re.kr/cgi-bin/nuclide?nuc=Mg-26 &lt;sub&gt;26&lt;/sub&gt;Mg]</v>
      </c>
      <c r="H52" t="str">
        <f>CONCATENATE(D52," % || ",E52)</f>
        <v>11,01 % || stabil</v>
      </c>
      <c r="I52" t="str">
        <f>CONCATENATE(" | ",G52," || ",H52," || ",F52)</f>
        <v xml:space="preserve"> | [http://atom.kaeri.re.kr/cgi-bin/nuclide?nuc=Mg-26 &lt;sub&gt;26&lt;/sub&gt;Mg] || 11,01 % || stabil || </v>
      </c>
      <c r="N52" t="str">
        <f>CONCATENATE(I52,"&lt;br&gt;"," |-")</f>
        <v xml:space="preserve"> | [http://atom.kaeri.re.kr/cgi-bin/nuclide?nuc=Mg-26 &lt;sub&gt;26&lt;/sub&gt;Mg] || 11,01 % || stabil || &lt;br&gt; |-</v>
      </c>
    </row>
    <row r="53" spans="1:14" ht="15.95" customHeight="1">
      <c r="A53">
        <v>12</v>
      </c>
      <c r="B53" s="23" t="s">
        <v>912</v>
      </c>
      <c r="C53">
        <v>999</v>
      </c>
      <c r="D53" t="s">
        <v>913</v>
      </c>
      <c r="E53" t="s">
        <v>981</v>
      </c>
      <c r="N53" t="str">
        <f>CONCATENATE(" |}&lt;br&gt;* [http://atom.kaeri.re.kr/cgi-bin/nuclide?nuc=",B53," alle bekannten ",D53,"-Isotope]")</f>
        <v xml:space="preserve"> |}&lt;br&gt;* [http://atom.kaeri.re.kr/cgi-bin/nuclide?nuc=Mg alle bekannten Magnesium-Isotope]</v>
      </c>
    </row>
    <row r="54" spans="1:14" ht="15.95" customHeight="1">
      <c r="A54">
        <v>13</v>
      </c>
      <c r="B54" s="23" t="s">
        <v>916</v>
      </c>
      <c r="C54" s="17">
        <v>0</v>
      </c>
      <c r="D54" t="s">
        <v>917</v>
      </c>
      <c r="E54" t="s">
        <v>981</v>
      </c>
      <c r="N54" t="str">
        <f>CONCATENATE("=== [[",D54,"]] ===&lt;br&gt;{| {{tabelle}}&lt;br&gt;! Isotop !! ",$D$1," !! [[",$E$1,"]] !! ",$F$1," &lt;br&gt; |-")</f>
        <v>=== [[Aluminium]] ===&lt;br&gt;{| {{tabelle}}&lt;br&gt;! Isotop !! natürliche Häufigkeit !! [[Halbwertszeit]] !! Herkunft, techn. Bedeutung &lt;br&gt; |-</v>
      </c>
    </row>
    <row r="55" spans="1:14" ht="15.95" customHeight="1">
      <c r="A55" s="17">
        <v>13</v>
      </c>
      <c r="B55" s="21" t="s">
        <v>916</v>
      </c>
      <c r="C55" s="17">
        <v>27</v>
      </c>
      <c r="D55" s="17">
        <v>100</v>
      </c>
      <c r="E55" t="s">
        <v>981</v>
      </c>
      <c r="G55" t="str">
        <f>CONCATENATE("[","http://atom.kaeri.re.kr/cgi-bin/nuclide?nuc=",B55,"-",C55," &lt;sub&gt;",C55,"&lt;/sub&gt;",B55,"]")</f>
        <v>[http://atom.kaeri.re.kr/cgi-bin/nuclide?nuc=Al-27 &lt;sub&gt;27&lt;/sub&gt;Al]</v>
      </c>
      <c r="H55" t="str">
        <f>CONCATENATE(D55," % || ",E55)</f>
        <v>100 % || stabil</v>
      </c>
      <c r="I55" t="str">
        <f>CONCATENATE(" | ",G55," || ",H55," || ",F55)</f>
        <v xml:space="preserve"> | [http://atom.kaeri.re.kr/cgi-bin/nuclide?nuc=Al-27 &lt;sub&gt;27&lt;/sub&gt;Al] || 100 % || stabil || </v>
      </c>
      <c r="N55" t="str">
        <f>CONCATENATE(I55,"&lt;br&gt;"," |-")</f>
        <v xml:space="preserve"> | [http://atom.kaeri.re.kr/cgi-bin/nuclide?nuc=Al-27 &lt;sub&gt;27&lt;/sub&gt;Al] || 100 % || stabil || &lt;br&gt; |-</v>
      </c>
    </row>
    <row r="56" spans="1:14" ht="15.95" customHeight="1">
      <c r="A56">
        <v>13</v>
      </c>
      <c r="B56" s="23" t="s">
        <v>916</v>
      </c>
      <c r="C56">
        <v>999</v>
      </c>
      <c r="D56" t="s">
        <v>917</v>
      </c>
      <c r="E56" t="s">
        <v>981</v>
      </c>
      <c r="N56" t="str">
        <f>CONCATENATE(" |}&lt;br&gt;* [http://atom.kaeri.re.kr/cgi-bin/nuclide?nuc=",B56," alle bekannten ",D56,"-Isotope]")</f>
        <v xml:space="preserve"> |}&lt;br&gt;* [http://atom.kaeri.re.kr/cgi-bin/nuclide?nuc=Al alle bekannten Aluminium-Isotope]</v>
      </c>
    </row>
    <row r="57" spans="1:14" ht="15.95" customHeight="1">
      <c r="A57">
        <v>14</v>
      </c>
      <c r="B57" s="23" t="s">
        <v>920</v>
      </c>
      <c r="C57" s="17">
        <v>0</v>
      </c>
      <c r="D57" t="s">
        <v>921</v>
      </c>
      <c r="E57" t="s">
        <v>981</v>
      </c>
      <c r="N57" t="str">
        <f>CONCATENATE("=== [[",D57,"]] ===&lt;br&gt;{| {{tabelle}}&lt;br&gt;! Isotop !! ",$D$1," !! [[",$E$1,"]] !! ",$F$1," &lt;br&gt; |-")</f>
        <v>=== [[Silicium]] ===&lt;br&gt;{| {{tabelle}}&lt;br&gt;! Isotop !! natürliche Häufigkeit !! [[Halbwertszeit]] !! Herkunft, techn. Bedeutung &lt;br&gt; |-</v>
      </c>
    </row>
    <row r="58" spans="1:14" ht="15.95" customHeight="1">
      <c r="A58" s="17">
        <v>14</v>
      </c>
      <c r="B58" s="21" t="s">
        <v>920</v>
      </c>
      <c r="C58" s="17">
        <v>28</v>
      </c>
      <c r="D58" s="17">
        <v>92.229699999999994</v>
      </c>
      <c r="E58" t="s">
        <v>981</v>
      </c>
      <c r="G58" t="str">
        <f>CONCATENATE("[","http://atom.kaeri.re.kr/cgi-bin/nuclide?nuc=",B58,"-",C58," &lt;sub&gt;",C58,"&lt;/sub&gt;",B58,"]")</f>
        <v>[http://atom.kaeri.re.kr/cgi-bin/nuclide?nuc=Si-28 &lt;sub&gt;28&lt;/sub&gt;Si]</v>
      </c>
      <c r="H58" t="str">
        <f>CONCATENATE(D58," % || ",E58)</f>
        <v>92,2297 % || stabil</v>
      </c>
      <c r="I58" t="str">
        <f>CONCATENATE(" | ",G58," || ",H58," || ",F58)</f>
        <v xml:space="preserve"> | [http://atom.kaeri.re.kr/cgi-bin/nuclide?nuc=Si-28 &lt;sub&gt;28&lt;/sub&gt;Si] || 92,2297 % || stabil || </v>
      </c>
      <c r="N58" t="str">
        <f>CONCATENATE(I58,"&lt;br&gt;"," |-")</f>
        <v xml:space="preserve"> | [http://atom.kaeri.re.kr/cgi-bin/nuclide?nuc=Si-28 &lt;sub&gt;28&lt;/sub&gt;Si] || 92,2297 % || stabil || &lt;br&gt; |-</v>
      </c>
    </row>
    <row r="59" spans="1:14" ht="15.95" customHeight="1">
      <c r="A59" s="17">
        <v>14</v>
      </c>
      <c r="B59" s="21" t="s">
        <v>920</v>
      </c>
      <c r="C59" s="17">
        <v>29</v>
      </c>
      <c r="D59" s="17">
        <v>4.6832000000000003</v>
      </c>
      <c r="E59" t="s">
        <v>981</v>
      </c>
      <c r="G59" t="str">
        <f>CONCATENATE("[","http://atom.kaeri.re.kr/cgi-bin/nuclide?nuc=",B59,"-",C59," &lt;sub&gt;",C59,"&lt;/sub&gt;",B59,"]")</f>
        <v>[http://atom.kaeri.re.kr/cgi-bin/nuclide?nuc=Si-29 &lt;sub&gt;29&lt;/sub&gt;Si]</v>
      </c>
      <c r="H59" t="str">
        <f>CONCATENATE(D59," % || ",E59)</f>
        <v>4,6832 % || stabil</v>
      </c>
      <c r="I59" t="str">
        <f>CONCATENATE(" | ",G59," || ",H59," || ",F59)</f>
        <v xml:space="preserve"> | [http://atom.kaeri.re.kr/cgi-bin/nuclide?nuc=Si-29 &lt;sub&gt;29&lt;/sub&gt;Si] || 4,6832 % || stabil || </v>
      </c>
      <c r="N59" t="str">
        <f>CONCATENATE(I59,"&lt;br&gt;"," |-")</f>
        <v xml:space="preserve"> | [http://atom.kaeri.re.kr/cgi-bin/nuclide?nuc=Si-29 &lt;sub&gt;29&lt;/sub&gt;Si] || 4,6832 % || stabil || &lt;br&gt; |-</v>
      </c>
    </row>
    <row r="60" spans="1:14" ht="15.95" customHeight="1">
      <c r="A60" s="17">
        <v>14</v>
      </c>
      <c r="B60" s="21" t="s">
        <v>920</v>
      </c>
      <c r="C60" s="17">
        <v>30</v>
      </c>
      <c r="D60" s="17">
        <v>3.0872000000000002</v>
      </c>
      <c r="E60" t="s">
        <v>981</v>
      </c>
      <c r="G60" t="str">
        <f>CONCATENATE("[","http://atom.kaeri.re.kr/cgi-bin/nuclide?nuc=",B60,"-",C60," &lt;sub&gt;",C60,"&lt;/sub&gt;",B60,"]")</f>
        <v>[http://atom.kaeri.re.kr/cgi-bin/nuclide?nuc=Si-30 &lt;sub&gt;30&lt;/sub&gt;Si]</v>
      </c>
      <c r="H60" t="str">
        <f>CONCATENATE(D60," % || ",E60)</f>
        <v>3,0872 % || stabil</v>
      </c>
      <c r="I60" t="str">
        <f>CONCATENATE(" | ",G60," || ",H60," || ",F60)</f>
        <v xml:space="preserve"> | [http://atom.kaeri.re.kr/cgi-bin/nuclide?nuc=Si-30 &lt;sub&gt;30&lt;/sub&gt;Si] || 3,0872 % || stabil || </v>
      </c>
      <c r="N60" t="str">
        <f>CONCATENATE(I60,"&lt;br&gt;"," |-")</f>
        <v xml:space="preserve"> | [http://atom.kaeri.re.kr/cgi-bin/nuclide?nuc=Si-30 &lt;sub&gt;30&lt;/sub&gt;Si] || 3,0872 % || stabil || &lt;br&gt; |-</v>
      </c>
    </row>
    <row r="61" spans="1:14" ht="15.95" customHeight="1">
      <c r="A61">
        <v>14</v>
      </c>
      <c r="B61" s="23" t="s">
        <v>920</v>
      </c>
      <c r="C61">
        <v>999</v>
      </c>
      <c r="D61" t="s">
        <v>921</v>
      </c>
      <c r="E61" t="s">
        <v>981</v>
      </c>
      <c r="N61" t="str">
        <f>CONCATENATE(" |}&lt;br&gt;* [http://atom.kaeri.re.kr/cgi-bin/nuclide?nuc=",B61," alle bekannten ",D61,"-Isotope]")</f>
        <v xml:space="preserve"> |}&lt;br&gt;* [http://atom.kaeri.re.kr/cgi-bin/nuclide?nuc=Si alle bekannten Silicium-Isotope]</v>
      </c>
    </row>
    <row r="62" spans="1:14" ht="15.95" customHeight="1">
      <c r="A62">
        <v>15</v>
      </c>
      <c r="B62" s="23" t="s">
        <v>924</v>
      </c>
      <c r="C62" s="17">
        <v>0</v>
      </c>
      <c r="D62" t="s">
        <v>925</v>
      </c>
      <c r="E62" t="s">
        <v>981</v>
      </c>
      <c r="N62" t="str">
        <f>CONCATENATE("=== [[",D62,"]] ===&lt;br&gt;{| {{tabelle}}&lt;br&gt;! Isotop !! ",$D$1," !! [[",$E$1,"]] !! ",$F$1," &lt;br&gt; |-")</f>
        <v>=== [[Phosphor]] ===&lt;br&gt;{| {{tabelle}}&lt;br&gt;! Isotop !! natürliche Häufigkeit !! [[Halbwertszeit]] !! Herkunft, techn. Bedeutung &lt;br&gt; |-</v>
      </c>
    </row>
    <row r="63" spans="1:14" ht="15.95" customHeight="1">
      <c r="A63" s="17">
        <v>15</v>
      </c>
      <c r="B63" s="21" t="s">
        <v>924</v>
      </c>
      <c r="C63" s="17">
        <v>31</v>
      </c>
      <c r="D63" s="17">
        <v>100</v>
      </c>
      <c r="E63" t="s">
        <v>981</v>
      </c>
      <c r="G63" t="str">
        <f>CONCATENATE("[","http://atom.kaeri.re.kr/cgi-bin/nuclide?nuc=",B63,"-",C63," &lt;sub&gt;",C63,"&lt;/sub&gt;",B63,"]")</f>
        <v>[http://atom.kaeri.re.kr/cgi-bin/nuclide?nuc=P-31 &lt;sub&gt;31&lt;/sub&gt;P]</v>
      </c>
      <c r="H63" t="str">
        <f>CONCATENATE(D63," % || ",E63)</f>
        <v>100 % || stabil</v>
      </c>
      <c r="I63" t="str">
        <f>CONCATENATE(" | ",G63," || ",H63," || ",F63)</f>
        <v xml:space="preserve"> | [http://atom.kaeri.re.kr/cgi-bin/nuclide?nuc=P-31 &lt;sub&gt;31&lt;/sub&gt;P] || 100 % || stabil || </v>
      </c>
      <c r="N63" t="str">
        <f>CONCATENATE(I63,"&lt;br&gt;"," |-")</f>
        <v xml:space="preserve"> | [http://atom.kaeri.re.kr/cgi-bin/nuclide?nuc=P-31 &lt;sub&gt;31&lt;/sub&gt;P] || 100 % || stabil || &lt;br&gt; |-</v>
      </c>
    </row>
    <row r="64" spans="1:14" ht="15.95" customHeight="1">
      <c r="A64">
        <v>15</v>
      </c>
      <c r="B64" s="23" t="s">
        <v>924</v>
      </c>
      <c r="C64">
        <v>999</v>
      </c>
      <c r="D64" t="s">
        <v>925</v>
      </c>
      <c r="E64" t="s">
        <v>981</v>
      </c>
      <c r="N64" t="str">
        <f>CONCATENATE(" |}&lt;br&gt;* [http://atom.kaeri.re.kr/cgi-bin/nuclide?nuc=",B64," alle bekannten ",D64,"-Isotope]")</f>
        <v xml:space="preserve"> |}&lt;br&gt;* [http://atom.kaeri.re.kr/cgi-bin/nuclide?nuc=P alle bekannten Phosphor-Isotope]</v>
      </c>
    </row>
    <row r="65" spans="1:14" ht="15.95" customHeight="1">
      <c r="A65">
        <v>16</v>
      </c>
      <c r="B65" s="23" t="s">
        <v>929</v>
      </c>
      <c r="C65" s="17">
        <v>0</v>
      </c>
      <c r="D65" t="s">
        <v>930</v>
      </c>
      <c r="E65" t="s">
        <v>981</v>
      </c>
      <c r="N65" t="str">
        <f>CONCATENATE("=== [[",D65,"]] ===&lt;br&gt;{| {{tabelle}}&lt;br&gt;! Isotop !! ",$D$1," !! [[",$E$1,"]] !! ",$F$1," &lt;br&gt; |-")</f>
        <v>=== [[Schwefel]] ===&lt;br&gt;{| {{tabelle}}&lt;br&gt;! Isotop !! natürliche Häufigkeit !! [[Halbwertszeit]] !! Herkunft, techn. Bedeutung &lt;br&gt; |-</v>
      </c>
    </row>
    <row r="66" spans="1:14" ht="15.95" customHeight="1">
      <c r="A66" s="17">
        <v>16</v>
      </c>
      <c r="B66" s="21" t="s">
        <v>929</v>
      </c>
      <c r="C66" s="17">
        <v>32</v>
      </c>
      <c r="D66" s="17">
        <v>94.93</v>
      </c>
      <c r="E66" t="s">
        <v>981</v>
      </c>
      <c r="G66" t="str">
        <f>CONCATENATE("[","http://atom.kaeri.re.kr/cgi-bin/nuclide?nuc=",B66,"-",C66," &lt;sub&gt;",C66,"&lt;/sub&gt;",B66,"]")</f>
        <v>[http://atom.kaeri.re.kr/cgi-bin/nuclide?nuc=S-32 &lt;sub&gt;32&lt;/sub&gt;S]</v>
      </c>
      <c r="H66" t="str">
        <f>CONCATENATE(D66," % || ",E66)</f>
        <v>94,93 % || stabil</v>
      </c>
      <c r="I66" t="str">
        <f>CONCATENATE(" | ",G66," || ",H66," || ",F66)</f>
        <v xml:space="preserve"> | [http://atom.kaeri.re.kr/cgi-bin/nuclide?nuc=S-32 &lt;sub&gt;32&lt;/sub&gt;S] || 94,93 % || stabil || </v>
      </c>
      <c r="N66" t="str">
        <f>CONCATENATE(I66,"&lt;br&gt;"," |-")</f>
        <v xml:space="preserve"> | [http://atom.kaeri.re.kr/cgi-bin/nuclide?nuc=S-32 &lt;sub&gt;32&lt;/sub&gt;S] || 94,93 % || stabil || &lt;br&gt; |-</v>
      </c>
    </row>
    <row r="67" spans="1:14" ht="15.95" customHeight="1">
      <c r="A67" s="17">
        <v>16</v>
      </c>
      <c r="B67" s="21" t="s">
        <v>929</v>
      </c>
      <c r="C67" s="17">
        <v>33</v>
      </c>
      <c r="D67" s="17">
        <v>0.76</v>
      </c>
      <c r="E67" t="s">
        <v>981</v>
      </c>
      <c r="G67" t="str">
        <f>CONCATENATE("[","http://atom.kaeri.re.kr/cgi-bin/nuclide?nuc=",B67,"-",C67," &lt;sub&gt;",C67,"&lt;/sub&gt;",B67,"]")</f>
        <v>[http://atom.kaeri.re.kr/cgi-bin/nuclide?nuc=S-33 &lt;sub&gt;33&lt;/sub&gt;S]</v>
      </c>
      <c r="H67" t="str">
        <f>CONCATENATE(D67," % || ",E67)</f>
        <v>0,76 % || stabil</v>
      </c>
      <c r="I67" t="str">
        <f>CONCATENATE(" | ",G67," || ",H67," || ",F67)</f>
        <v xml:space="preserve"> | [http://atom.kaeri.re.kr/cgi-bin/nuclide?nuc=S-33 &lt;sub&gt;33&lt;/sub&gt;S] || 0,76 % || stabil || </v>
      </c>
      <c r="N67" t="str">
        <f>CONCATENATE(I67,"&lt;br&gt;"," |-")</f>
        <v xml:space="preserve"> | [http://atom.kaeri.re.kr/cgi-bin/nuclide?nuc=S-33 &lt;sub&gt;33&lt;/sub&gt;S] || 0,76 % || stabil || &lt;br&gt; |-</v>
      </c>
    </row>
    <row r="68" spans="1:14" ht="15.95" customHeight="1">
      <c r="A68" s="17">
        <v>16</v>
      </c>
      <c r="B68" s="21" t="s">
        <v>929</v>
      </c>
      <c r="C68" s="17">
        <v>34</v>
      </c>
      <c r="D68" s="17">
        <v>4.29</v>
      </c>
      <c r="E68" t="s">
        <v>981</v>
      </c>
      <c r="G68" t="str">
        <f>CONCATENATE("[","http://atom.kaeri.re.kr/cgi-bin/nuclide?nuc=",B68,"-",C68," &lt;sub&gt;",C68,"&lt;/sub&gt;",B68,"]")</f>
        <v>[http://atom.kaeri.re.kr/cgi-bin/nuclide?nuc=S-34 &lt;sub&gt;34&lt;/sub&gt;S]</v>
      </c>
      <c r="H68" t="str">
        <f>CONCATENATE(D68," % || ",E68)</f>
        <v>4,29 % || stabil</v>
      </c>
      <c r="I68" t="str">
        <f>CONCATENATE(" | ",G68," || ",H68," || ",F68)</f>
        <v xml:space="preserve"> | [http://atom.kaeri.re.kr/cgi-bin/nuclide?nuc=S-34 &lt;sub&gt;34&lt;/sub&gt;S] || 4,29 % || stabil || </v>
      </c>
      <c r="N68" t="str">
        <f>CONCATENATE(I68,"&lt;br&gt;"," |-")</f>
        <v xml:space="preserve"> | [http://atom.kaeri.re.kr/cgi-bin/nuclide?nuc=S-34 &lt;sub&gt;34&lt;/sub&gt;S] || 4,29 % || stabil || &lt;br&gt; |-</v>
      </c>
    </row>
    <row r="69" spans="1:14" ht="15.95" customHeight="1">
      <c r="A69" s="17">
        <v>16</v>
      </c>
      <c r="B69" s="21" t="s">
        <v>929</v>
      </c>
      <c r="C69" s="17">
        <v>36</v>
      </c>
      <c r="D69" s="17">
        <v>0.02</v>
      </c>
      <c r="E69" t="s">
        <v>981</v>
      </c>
      <c r="G69" t="str">
        <f>CONCATENATE("[","http://atom.kaeri.re.kr/cgi-bin/nuclide?nuc=",B69,"-",C69," &lt;sub&gt;",C69,"&lt;/sub&gt;",B69,"]")</f>
        <v>[http://atom.kaeri.re.kr/cgi-bin/nuclide?nuc=S-36 &lt;sub&gt;36&lt;/sub&gt;S]</v>
      </c>
      <c r="H69" t="str">
        <f>CONCATENATE(D69," % || ",E69)</f>
        <v>0,02 % || stabil</v>
      </c>
      <c r="I69" t="str">
        <f>CONCATENATE(" | ",G69," || ",H69," || ",F69)</f>
        <v xml:space="preserve"> | [http://atom.kaeri.re.kr/cgi-bin/nuclide?nuc=S-36 &lt;sub&gt;36&lt;/sub&gt;S] || 0,02 % || stabil || </v>
      </c>
      <c r="N69" t="str">
        <f>CONCATENATE(I69,"&lt;br&gt;"," |-")</f>
        <v xml:space="preserve"> | [http://atom.kaeri.re.kr/cgi-bin/nuclide?nuc=S-36 &lt;sub&gt;36&lt;/sub&gt;S] || 0,02 % || stabil || &lt;br&gt; |-</v>
      </c>
    </row>
    <row r="70" spans="1:14" ht="15.95" customHeight="1">
      <c r="A70">
        <v>16</v>
      </c>
      <c r="B70" s="23" t="s">
        <v>929</v>
      </c>
      <c r="C70">
        <v>999</v>
      </c>
      <c r="D70" t="s">
        <v>930</v>
      </c>
      <c r="E70" t="s">
        <v>981</v>
      </c>
      <c r="N70" t="str">
        <f>CONCATENATE(" |}&lt;br&gt;* [http://atom.kaeri.re.kr/cgi-bin/nuclide?nuc=",B70," alle bekannten ",D70,"-Isotope]")</f>
        <v xml:space="preserve"> |}&lt;br&gt;* [http://atom.kaeri.re.kr/cgi-bin/nuclide?nuc=S alle bekannten Schwefel-Isotope]</v>
      </c>
    </row>
    <row r="71" spans="1:14" ht="15.95" customHeight="1">
      <c r="A71">
        <v>17</v>
      </c>
      <c r="B71" s="23" t="s">
        <v>932</v>
      </c>
      <c r="C71" s="17">
        <v>0</v>
      </c>
      <c r="D71" t="s">
        <v>933</v>
      </c>
      <c r="E71" t="s">
        <v>981</v>
      </c>
      <c r="N71" t="str">
        <f>CONCATENATE("=== [[",D71,"]] ===&lt;br&gt;{| {{tabelle}}&lt;br&gt;! Isotop !! ",$D$1," !! [[",$E$1,"]] !! ",$F$1," &lt;br&gt; |-")</f>
        <v>=== [[Chlor]] ===&lt;br&gt;{| {{tabelle}}&lt;br&gt;! Isotop !! natürliche Häufigkeit !! [[Halbwertszeit]] !! Herkunft, techn. Bedeutung &lt;br&gt; |-</v>
      </c>
    </row>
    <row r="72" spans="1:14" ht="15.95" customHeight="1">
      <c r="A72" s="17">
        <v>17</v>
      </c>
      <c r="B72" s="21" t="s">
        <v>932</v>
      </c>
      <c r="C72" s="17">
        <v>35</v>
      </c>
      <c r="D72" s="17">
        <v>75.78</v>
      </c>
      <c r="E72" t="s">
        <v>981</v>
      </c>
      <c r="G72" t="str">
        <f>CONCATENATE("[","http://atom.kaeri.re.kr/cgi-bin/nuclide?nuc=",B72,"-",C72," &lt;sub&gt;",C72,"&lt;/sub&gt;",B72,"]")</f>
        <v>[http://atom.kaeri.re.kr/cgi-bin/nuclide?nuc=Cl-35 &lt;sub&gt;35&lt;/sub&gt;Cl]</v>
      </c>
      <c r="H72" t="str">
        <f>CONCATENATE(D72," % || ",E72)</f>
        <v>75,78 % || stabil</v>
      </c>
      <c r="I72" t="str">
        <f>CONCATENATE(" | ",G72," || ",H72," || ",F72)</f>
        <v xml:space="preserve"> | [http://atom.kaeri.re.kr/cgi-bin/nuclide?nuc=Cl-35 &lt;sub&gt;35&lt;/sub&gt;Cl] || 75,78 % || stabil || </v>
      </c>
      <c r="N72" t="str">
        <f>CONCATENATE(I72,"&lt;br&gt;"," |-")</f>
        <v xml:space="preserve"> | [http://atom.kaeri.re.kr/cgi-bin/nuclide?nuc=Cl-35 &lt;sub&gt;35&lt;/sub&gt;Cl] || 75,78 % || stabil || &lt;br&gt; |-</v>
      </c>
    </row>
    <row r="73" spans="1:14" ht="15.95" customHeight="1">
      <c r="A73" s="17">
        <v>17</v>
      </c>
      <c r="B73" s="21" t="s">
        <v>932</v>
      </c>
      <c r="C73" s="17">
        <v>37</v>
      </c>
      <c r="D73" s="17">
        <v>24.22</v>
      </c>
      <c r="E73" t="s">
        <v>981</v>
      </c>
      <c r="G73" t="str">
        <f>CONCATENATE("[","http://atom.kaeri.re.kr/cgi-bin/nuclide?nuc=",B73,"-",C73," &lt;sub&gt;",C73,"&lt;/sub&gt;",B73,"]")</f>
        <v>[http://atom.kaeri.re.kr/cgi-bin/nuclide?nuc=Cl-37 &lt;sub&gt;37&lt;/sub&gt;Cl]</v>
      </c>
      <c r="H73" t="str">
        <f>CONCATENATE(D73," % || ",E73)</f>
        <v>24,22 % || stabil</v>
      </c>
      <c r="I73" t="str">
        <f>CONCATENATE(" | ",G73," || ",H73," || ",F73)</f>
        <v xml:space="preserve"> | [http://atom.kaeri.re.kr/cgi-bin/nuclide?nuc=Cl-37 &lt;sub&gt;37&lt;/sub&gt;Cl] || 24,22 % || stabil || </v>
      </c>
      <c r="N73" t="str">
        <f>CONCATENATE(I73,"&lt;br&gt;"," |-")</f>
        <v xml:space="preserve"> | [http://atom.kaeri.re.kr/cgi-bin/nuclide?nuc=Cl-37 &lt;sub&gt;37&lt;/sub&gt;Cl] || 24,22 % || stabil || &lt;br&gt; |-</v>
      </c>
    </row>
    <row r="74" spans="1:14" ht="15.95" customHeight="1">
      <c r="A74">
        <v>17</v>
      </c>
      <c r="B74" s="23" t="s">
        <v>932</v>
      </c>
      <c r="C74">
        <v>999</v>
      </c>
      <c r="D74" t="s">
        <v>933</v>
      </c>
      <c r="E74" t="s">
        <v>981</v>
      </c>
      <c r="N74" t="str">
        <f>CONCATENATE(" |}&lt;br&gt;* [http://atom.kaeri.re.kr/cgi-bin/nuclide?nuc=",B74," alle bekannten ",D74,"-Isotope]")</f>
        <v xml:space="preserve"> |}&lt;br&gt;* [http://atom.kaeri.re.kr/cgi-bin/nuclide?nuc=Cl alle bekannten Chlor-Isotope]</v>
      </c>
    </row>
    <row r="75" spans="1:14" ht="15.95" customHeight="1">
      <c r="A75">
        <v>18</v>
      </c>
      <c r="B75" s="23" t="s">
        <v>9</v>
      </c>
      <c r="C75" s="17">
        <v>0</v>
      </c>
      <c r="D75" t="s">
        <v>10</v>
      </c>
      <c r="E75" t="s">
        <v>981</v>
      </c>
      <c r="N75" t="str">
        <f>CONCATENATE("=== [[",D75,"]] ===&lt;br&gt;{| {{tabelle}}&lt;br&gt;! Isotop !! ",$D$1," !! [[",$E$1,"]] !! ",$F$1," &lt;br&gt; |-")</f>
        <v>=== [[Argon]] ===&lt;br&gt;{| {{tabelle}}&lt;br&gt;! Isotop !! natürliche Häufigkeit !! [[Halbwertszeit]] !! Herkunft, techn. Bedeutung &lt;br&gt; |-</v>
      </c>
    </row>
    <row r="76" spans="1:14" ht="15.95" customHeight="1">
      <c r="A76" s="17">
        <v>18</v>
      </c>
      <c r="B76" s="21" t="s">
        <v>9</v>
      </c>
      <c r="C76" s="17">
        <v>36</v>
      </c>
      <c r="D76" s="17">
        <v>0.33650000000000002</v>
      </c>
      <c r="E76" t="s">
        <v>981</v>
      </c>
      <c r="G76" t="str">
        <f>CONCATENATE("[","http://atom.kaeri.re.kr/cgi-bin/nuclide?nuc=",B76,"-",C76," &lt;sub&gt;",C76,"&lt;/sub&gt;",B76,"]")</f>
        <v>[http://atom.kaeri.re.kr/cgi-bin/nuclide?nuc=Ar-36 &lt;sub&gt;36&lt;/sub&gt;Ar]</v>
      </c>
      <c r="H76" t="str">
        <f>CONCATENATE(D76," % || ",E76)</f>
        <v>0,3365 % || stabil</v>
      </c>
      <c r="I76" t="str">
        <f>CONCATENATE(" | ",G76," || ",H76," || ",F76)</f>
        <v xml:space="preserve"> | [http://atom.kaeri.re.kr/cgi-bin/nuclide?nuc=Ar-36 &lt;sub&gt;36&lt;/sub&gt;Ar] || 0,3365 % || stabil || </v>
      </c>
      <c r="N76" t="str">
        <f>CONCATENATE(I76,"&lt;br&gt;"," |-")</f>
        <v xml:space="preserve"> | [http://atom.kaeri.re.kr/cgi-bin/nuclide?nuc=Ar-36 &lt;sub&gt;36&lt;/sub&gt;Ar] || 0,3365 % || stabil || &lt;br&gt; |-</v>
      </c>
    </row>
    <row r="77" spans="1:14" ht="15.95" customHeight="1">
      <c r="A77" s="17">
        <v>18</v>
      </c>
      <c r="B77" s="21" t="s">
        <v>9</v>
      </c>
      <c r="C77" s="17">
        <v>38</v>
      </c>
      <c r="D77" s="17">
        <v>6.3200000000000006E-2</v>
      </c>
      <c r="E77" t="s">
        <v>981</v>
      </c>
      <c r="G77" t="str">
        <f>CONCATENATE("[","http://atom.kaeri.re.kr/cgi-bin/nuclide?nuc=",B77,"-",C77," &lt;sub&gt;",C77,"&lt;/sub&gt;",B77,"]")</f>
        <v>[http://atom.kaeri.re.kr/cgi-bin/nuclide?nuc=Ar-38 &lt;sub&gt;38&lt;/sub&gt;Ar]</v>
      </c>
      <c r="H77" t="str">
        <f>CONCATENATE(D77," % || ",E77)</f>
        <v>0,0632 % || stabil</v>
      </c>
      <c r="I77" t="str">
        <f>CONCATENATE(" | ",G77," || ",H77," || ",F77)</f>
        <v xml:space="preserve"> | [http://atom.kaeri.re.kr/cgi-bin/nuclide?nuc=Ar-38 &lt;sub&gt;38&lt;/sub&gt;Ar] || 0,0632 % || stabil || </v>
      </c>
      <c r="N77" t="str">
        <f>CONCATENATE(I77,"&lt;br&gt;"," |-")</f>
        <v xml:space="preserve"> | [http://atom.kaeri.re.kr/cgi-bin/nuclide?nuc=Ar-38 &lt;sub&gt;38&lt;/sub&gt;Ar] || 0,0632 % || stabil || &lt;br&gt; |-</v>
      </c>
    </row>
    <row r="78" spans="1:14" ht="15.95" customHeight="1">
      <c r="A78" s="17">
        <v>18</v>
      </c>
      <c r="B78" s="21" t="s">
        <v>9</v>
      </c>
      <c r="C78" s="17">
        <v>40</v>
      </c>
      <c r="D78" s="17">
        <v>99.600300000000004</v>
      </c>
      <c r="E78" t="s">
        <v>981</v>
      </c>
      <c r="G78" t="str">
        <f>CONCATENATE("[","http://atom.kaeri.re.kr/cgi-bin/nuclide?nuc=",B78,"-",C78," &lt;sub&gt;",C78,"&lt;/sub&gt;",B78,"]")</f>
        <v>[http://atom.kaeri.re.kr/cgi-bin/nuclide?nuc=Ar-40 &lt;sub&gt;40&lt;/sub&gt;Ar]</v>
      </c>
      <c r="H78" t="str">
        <f>CONCATENATE(D78," % || ",E78)</f>
        <v>99,6003 % || stabil</v>
      </c>
      <c r="I78" t="str">
        <f>CONCATENATE(" | ",G78," || ",H78," || ",F78)</f>
        <v xml:space="preserve"> | [http://atom.kaeri.re.kr/cgi-bin/nuclide?nuc=Ar-40 &lt;sub&gt;40&lt;/sub&gt;Ar] || 99,6003 % || stabil || </v>
      </c>
      <c r="N78" t="str">
        <f>CONCATENATE(I78,"&lt;br&gt;"," |-")</f>
        <v xml:space="preserve"> | [http://atom.kaeri.re.kr/cgi-bin/nuclide?nuc=Ar-40 &lt;sub&gt;40&lt;/sub&gt;Ar] || 99,6003 % || stabil || &lt;br&gt; |-</v>
      </c>
    </row>
    <row r="79" spans="1:14" ht="15.95" customHeight="1">
      <c r="A79">
        <v>18</v>
      </c>
      <c r="B79" s="23" t="s">
        <v>9</v>
      </c>
      <c r="C79">
        <v>999</v>
      </c>
      <c r="D79" t="s">
        <v>10</v>
      </c>
      <c r="E79" t="s">
        <v>981</v>
      </c>
      <c r="N79" t="str">
        <f>CONCATENATE(" |}&lt;br&gt;* [http://atom.kaeri.re.kr/cgi-bin/nuclide?nuc=",B79," alle bekannten ",D79,"-Isotope]")</f>
        <v xml:space="preserve"> |}&lt;br&gt;* [http://atom.kaeri.re.kr/cgi-bin/nuclide?nuc=Ar alle bekannten Argon-Isotope]</v>
      </c>
    </row>
    <row r="80" spans="1:14" ht="15.95" customHeight="1">
      <c r="A80">
        <v>19</v>
      </c>
      <c r="B80" s="23" t="s">
        <v>11</v>
      </c>
      <c r="C80" s="17">
        <v>0</v>
      </c>
      <c r="D80" t="s">
        <v>12</v>
      </c>
      <c r="E80" t="s">
        <v>981</v>
      </c>
      <c r="N80" t="str">
        <f>CONCATENATE("=== [[",D80,"]] ===&lt;br&gt;{| {{tabelle}}&lt;br&gt;! Isotop !! ",$D$1," !! [[",$E$1,"]] !! ",$F$1," &lt;br&gt; |-")</f>
        <v>=== [[Kalium]] ===&lt;br&gt;{| {{tabelle}}&lt;br&gt;! Isotop !! natürliche Häufigkeit !! [[Halbwertszeit]] !! Herkunft, techn. Bedeutung &lt;br&gt; |-</v>
      </c>
    </row>
    <row r="81" spans="1:14" ht="15.95" customHeight="1">
      <c r="A81" s="17">
        <v>19</v>
      </c>
      <c r="B81" s="21" t="s">
        <v>11</v>
      </c>
      <c r="C81" s="17">
        <v>39</v>
      </c>
      <c r="D81" s="17">
        <v>93.258099999999999</v>
      </c>
      <c r="E81" t="s">
        <v>981</v>
      </c>
      <c r="G81" t="str">
        <f>CONCATENATE("[","http://atom.kaeri.re.kr/cgi-bin/nuclide?nuc=",B81,"-",C81," &lt;sub&gt;",C81,"&lt;/sub&gt;",B81,"]")</f>
        <v>[http://atom.kaeri.re.kr/cgi-bin/nuclide?nuc=K-39 &lt;sub&gt;39&lt;/sub&gt;K]</v>
      </c>
      <c r="H81" t="str">
        <f>CONCATENATE(D81," % || ",E81)</f>
        <v>93,2581 % || stabil</v>
      </c>
      <c r="I81" t="str">
        <f>CONCATENATE(" | ",G81," || ",H81," || ",F81)</f>
        <v xml:space="preserve"> | [http://atom.kaeri.re.kr/cgi-bin/nuclide?nuc=K-39 &lt;sub&gt;39&lt;/sub&gt;K] || 93,2581 % || stabil || </v>
      </c>
      <c r="N81" t="str">
        <f>CONCATENATE(I81,"&lt;br&gt;"," |-")</f>
        <v xml:space="preserve"> | [http://atom.kaeri.re.kr/cgi-bin/nuclide?nuc=K-39 &lt;sub&gt;39&lt;/sub&gt;K] || 93,2581 % || stabil || &lt;br&gt; |-</v>
      </c>
    </row>
    <row r="82" spans="1:14" s="18" customFormat="1" ht="15.95" customHeight="1">
      <c r="A82">
        <v>19</v>
      </c>
      <c r="B82" s="22" t="s">
        <v>11</v>
      </c>
      <c r="C82" s="19">
        <v>40</v>
      </c>
      <c r="D82" s="17">
        <v>1.17E-2</v>
      </c>
      <c r="E82" t="s">
        <v>939</v>
      </c>
      <c r="F82" t="s">
        <v>985</v>
      </c>
      <c r="G82" t="str">
        <f>CONCATENATE("[","http://atom.kaeri.re.kr/cgi-bin/nuclide?nuc=",B82,"-",C82," &lt;sub&gt;",C82,"&lt;/sub&gt;",B82,"]")</f>
        <v>[http://atom.kaeri.re.kr/cgi-bin/nuclide?nuc=K-40 &lt;sub&gt;40&lt;/sub&gt;K]</v>
      </c>
      <c r="H82" t="str">
        <f>CONCATENATE(D82," % || ",E82)</f>
        <v>0,0117 % || 1,27 Milliarden Jahre</v>
      </c>
      <c r="I82" t="str">
        <f>CONCATENATE(" | ",G82," || ",H82," || ",F82)</f>
        <v xml:space="preserve"> | [http://atom.kaeri.re.kr/cgi-bin/nuclide?nuc=K-40 &lt;sub&gt;40&lt;/sub&gt;K] || 0,0117 % || 1,27 Milliarden Jahre || [[radioaktiv]], Erdkruste</v>
      </c>
      <c r="J82"/>
      <c r="K82"/>
      <c r="L82"/>
      <c r="M82"/>
      <c r="N82" t="str">
        <f>CONCATENATE(I82,"&lt;br&gt;"," |-")</f>
        <v xml:space="preserve"> | [http://atom.kaeri.re.kr/cgi-bin/nuclide?nuc=K-40 &lt;sub&gt;40&lt;/sub&gt;K] || 0,0117 % || 1,27 Milliarden Jahre || [[radioaktiv]], Erdkruste&lt;br&gt; |-</v>
      </c>
    </row>
    <row r="83" spans="1:14" ht="15.95" customHeight="1">
      <c r="A83" s="17">
        <v>19</v>
      </c>
      <c r="B83" s="21" t="s">
        <v>11</v>
      </c>
      <c r="C83" s="17">
        <v>41</v>
      </c>
      <c r="D83" s="17">
        <v>6.7302</v>
      </c>
      <c r="E83" t="s">
        <v>981</v>
      </c>
      <c r="G83" t="str">
        <f>CONCATENATE("[","http://atom.kaeri.re.kr/cgi-bin/nuclide?nuc=",B83,"-",C83," &lt;sub&gt;",C83,"&lt;/sub&gt;",B83,"]")</f>
        <v>[http://atom.kaeri.re.kr/cgi-bin/nuclide?nuc=K-41 &lt;sub&gt;41&lt;/sub&gt;K]</v>
      </c>
      <c r="H83" t="str">
        <f>CONCATENATE(D83," % || ",E83)</f>
        <v>6,7302 % || stabil</v>
      </c>
      <c r="I83" t="str">
        <f>CONCATENATE(" | ",G83," || ",H83," || ",F83)</f>
        <v xml:space="preserve"> | [http://atom.kaeri.re.kr/cgi-bin/nuclide?nuc=K-41 &lt;sub&gt;41&lt;/sub&gt;K] || 6,7302 % || stabil || </v>
      </c>
      <c r="N83" t="str">
        <f>CONCATENATE(I83,"&lt;br&gt;"," |-")</f>
        <v xml:space="preserve"> | [http://atom.kaeri.re.kr/cgi-bin/nuclide?nuc=K-41 &lt;sub&gt;41&lt;/sub&gt;K] || 6,7302 % || stabil || &lt;br&gt; |-</v>
      </c>
    </row>
    <row r="84" spans="1:14" ht="15.95" customHeight="1">
      <c r="A84">
        <v>19</v>
      </c>
      <c r="B84" s="23" t="s">
        <v>11</v>
      </c>
      <c r="C84">
        <v>999</v>
      </c>
      <c r="D84" t="s">
        <v>12</v>
      </c>
      <c r="E84" t="s">
        <v>981</v>
      </c>
      <c r="N84" t="str">
        <f>CONCATENATE(" |}&lt;br&gt;* [http://atom.kaeri.re.kr/cgi-bin/nuclide?nuc=",B84," alle bekannten ",D84,"-Isotope]")</f>
        <v xml:space="preserve"> |}&lt;br&gt;* [http://atom.kaeri.re.kr/cgi-bin/nuclide?nuc=K alle bekannten Kalium-Isotope]</v>
      </c>
    </row>
    <row r="85" spans="1:14" ht="15.95" customHeight="1">
      <c r="A85">
        <v>20</v>
      </c>
      <c r="B85" s="23" t="s">
        <v>15</v>
      </c>
      <c r="C85" s="17">
        <v>0</v>
      </c>
      <c r="D85" t="s">
        <v>16</v>
      </c>
      <c r="E85" t="s">
        <v>981</v>
      </c>
      <c r="N85" t="str">
        <f>CONCATENATE("=== [[",D85,"]] ===&lt;br&gt;{| {{tabelle}}&lt;br&gt;! Isotop !! ",$D$1," !! [[",$E$1,"]] !! ",$F$1," &lt;br&gt; |-")</f>
        <v>=== [[Calcium]] ===&lt;br&gt;{| {{tabelle}}&lt;br&gt;! Isotop !! natürliche Häufigkeit !! [[Halbwertszeit]] !! Herkunft, techn. Bedeutung &lt;br&gt; |-</v>
      </c>
    </row>
    <row r="86" spans="1:14" ht="15.95" customHeight="1">
      <c r="A86" s="17">
        <v>20</v>
      </c>
      <c r="B86" s="21" t="s">
        <v>15</v>
      </c>
      <c r="C86" s="17">
        <v>40</v>
      </c>
      <c r="D86" s="17">
        <v>96.941000000000003</v>
      </c>
      <c r="E86" t="s">
        <v>981</v>
      </c>
      <c r="G86" t="str">
        <f t="shared" ref="G86:G91" si="0">CONCATENATE("[","http://atom.kaeri.re.kr/cgi-bin/nuclide?nuc=",B86,"-",C86," &lt;sub&gt;",C86,"&lt;/sub&gt;",B86,"]")</f>
        <v>[http://atom.kaeri.re.kr/cgi-bin/nuclide?nuc=Ca-40 &lt;sub&gt;40&lt;/sub&gt;Ca]</v>
      </c>
      <c r="H86" t="str">
        <f t="shared" ref="H86:H91" si="1">CONCATENATE(D86," % || ",E86)</f>
        <v>96,941 % || stabil</v>
      </c>
      <c r="I86" t="str">
        <f t="shared" ref="I86:I91" si="2">CONCATENATE(" | ",G86," || ",H86," || ",F86)</f>
        <v xml:space="preserve"> | [http://atom.kaeri.re.kr/cgi-bin/nuclide?nuc=Ca-40 &lt;sub&gt;40&lt;/sub&gt;Ca] || 96,941 % || stabil || </v>
      </c>
      <c r="N86" t="str">
        <f t="shared" ref="N86:N91" si="3">CONCATENATE(I86,"&lt;br&gt;"," |-")</f>
        <v xml:space="preserve"> | [http://atom.kaeri.re.kr/cgi-bin/nuclide?nuc=Ca-40 &lt;sub&gt;40&lt;/sub&gt;Ca] || 96,941 % || stabil || &lt;br&gt; |-</v>
      </c>
    </row>
    <row r="87" spans="1:14" ht="15.95" customHeight="1">
      <c r="A87" s="17">
        <v>20</v>
      </c>
      <c r="B87" s="21" t="s">
        <v>15</v>
      </c>
      <c r="C87" s="17">
        <v>42</v>
      </c>
      <c r="D87" s="17">
        <v>0.64700000000000002</v>
      </c>
      <c r="E87" t="s">
        <v>981</v>
      </c>
      <c r="G87" t="str">
        <f t="shared" si="0"/>
        <v>[http://atom.kaeri.re.kr/cgi-bin/nuclide?nuc=Ca-42 &lt;sub&gt;42&lt;/sub&gt;Ca]</v>
      </c>
      <c r="H87" t="str">
        <f t="shared" si="1"/>
        <v>0,647 % || stabil</v>
      </c>
      <c r="I87" t="str">
        <f t="shared" si="2"/>
        <v xml:space="preserve"> | [http://atom.kaeri.re.kr/cgi-bin/nuclide?nuc=Ca-42 &lt;sub&gt;42&lt;/sub&gt;Ca] || 0,647 % || stabil || </v>
      </c>
      <c r="N87" t="str">
        <f t="shared" si="3"/>
        <v xml:space="preserve"> | [http://atom.kaeri.re.kr/cgi-bin/nuclide?nuc=Ca-42 &lt;sub&gt;42&lt;/sub&gt;Ca] || 0,647 % || stabil || &lt;br&gt; |-</v>
      </c>
    </row>
    <row r="88" spans="1:14" ht="15.95" customHeight="1">
      <c r="A88" s="17">
        <v>20</v>
      </c>
      <c r="B88" s="21" t="s">
        <v>15</v>
      </c>
      <c r="C88" s="17">
        <v>43</v>
      </c>
      <c r="D88" s="17">
        <v>0.13500000000000001</v>
      </c>
      <c r="E88" t="s">
        <v>981</v>
      </c>
      <c r="G88" t="str">
        <f t="shared" si="0"/>
        <v>[http://atom.kaeri.re.kr/cgi-bin/nuclide?nuc=Ca-43 &lt;sub&gt;43&lt;/sub&gt;Ca]</v>
      </c>
      <c r="H88" t="str">
        <f t="shared" si="1"/>
        <v>0,135 % || stabil</v>
      </c>
      <c r="I88" t="str">
        <f t="shared" si="2"/>
        <v xml:space="preserve"> | [http://atom.kaeri.re.kr/cgi-bin/nuclide?nuc=Ca-43 &lt;sub&gt;43&lt;/sub&gt;Ca] || 0,135 % || stabil || </v>
      </c>
      <c r="N88" t="str">
        <f t="shared" si="3"/>
        <v xml:space="preserve"> | [http://atom.kaeri.re.kr/cgi-bin/nuclide?nuc=Ca-43 &lt;sub&gt;43&lt;/sub&gt;Ca] || 0,135 % || stabil || &lt;br&gt; |-</v>
      </c>
    </row>
    <row r="89" spans="1:14" ht="15.95" customHeight="1">
      <c r="A89" s="17">
        <v>20</v>
      </c>
      <c r="B89" s="21" t="s">
        <v>15</v>
      </c>
      <c r="C89" s="17">
        <v>44</v>
      </c>
      <c r="D89" s="17">
        <v>2.0859999999999999</v>
      </c>
      <c r="E89" t="s">
        <v>981</v>
      </c>
      <c r="G89" t="str">
        <f t="shared" si="0"/>
        <v>[http://atom.kaeri.re.kr/cgi-bin/nuclide?nuc=Ca-44 &lt;sub&gt;44&lt;/sub&gt;Ca]</v>
      </c>
      <c r="H89" t="str">
        <f t="shared" si="1"/>
        <v>2,086 % || stabil</v>
      </c>
      <c r="I89" t="str">
        <f t="shared" si="2"/>
        <v xml:space="preserve"> | [http://atom.kaeri.re.kr/cgi-bin/nuclide?nuc=Ca-44 &lt;sub&gt;44&lt;/sub&gt;Ca] || 2,086 % || stabil || </v>
      </c>
      <c r="N89" t="str">
        <f t="shared" si="3"/>
        <v xml:space="preserve"> | [http://atom.kaeri.re.kr/cgi-bin/nuclide?nuc=Ca-44 &lt;sub&gt;44&lt;/sub&gt;Ca] || 2,086 % || stabil || &lt;br&gt; |-</v>
      </c>
    </row>
    <row r="90" spans="1:14" ht="15.95" customHeight="1">
      <c r="A90" s="17">
        <v>20</v>
      </c>
      <c r="B90" s="21" t="s">
        <v>15</v>
      </c>
      <c r="C90" s="17">
        <v>46</v>
      </c>
      <c r="D90" s="17">
        <v>4.0000000000000001E-3</v>
      </c>
      <c r="E90" t="s">
        <v>981</v>
      </c>
      <c r="G90" t="str">
        <f t="shared" si="0"/>
        <v>[http://atom.kaeri.re.kr/cgi-bin/nuclide?nuc=Ca-46 &lt;sub&gt;46&lt;/sub&gt;Ca]</v>
      </c>
      <c r="H90" t="str">
        <f t="shared" si="1"/>
        <v>0,004 % || stabil</v>
      </c>
      <c r="I90" t="str">
        <f t="shared" si="2"/>
        <v xml:space="preserve"> | [http://atom.kaeri.re.kr/cgi-bin/nuclide?nuc=Ca-46 &lt;sub&gt;46&lt;/sub&gt;Ca] || 0,004 % || stabil || </v>
      </c>
      <c r="N90" t="str">
        <f t="shared" si="3"/>
        <v xml:space="preserve"> | [http://atom.kaeri.re.kr/cgi-bin/nuclide?nuc=Ca-46 &lt;sub&gt;46&lt;/sub&gt;Ca] || 0,004 % || stabil || &lt;br&gt; |-</v>
      </c>
    </row>
    <row r="91" spans="1:14" ht="15.95" customHeight="1">
      <c r="A91" s="17">
        <v>20</v>
      </c>
      <c r="B91" s="21" t="s">
        <v>15</v>
      </c>
      <c r="C91" s="17">
        <v>48</v>
      </c>
      <c r="D91" s="17">
        <v>0.187</v>
      </c>
      <c r="E91" t="s">
        <v>981</v>
      </c>
      <c r="G91" t="str">
        <f t="shared" si="0"/>
        <v>[http://atom.kaeri.re.kr/cgi-bin/nuclide?nuc=Ca-48 &lt;sub&gt;48&lt;/sub&gt;Ca]</v>
      </c>
      <c r="H91" t="str">
        <f t="shared" si="1"/>
        <v>0,187 % || stabil</v>
      </c>
      <c r="I91" t="str">
        <f t="shared" si="2"/>
        <v xml:space="preserve"> | [http://atom.kaeri.re.kr/cgi-bin/nuclide?nuc=Ca-48 &lt;sub&gt;48&lt;/sub&gt;Ca] || 0,187 % || stabil || </v>
      </c>
      <c r="N91" t="str">
        <f t="shared" si="3"/>
        <v xml:space="preserve"> | [http://atom.kaeri.re.kr/cgi-bin/nuclide?nuc=Ca-48 &lt;sub&gt;48&lt;/sub&gt;Ca] || 0,187 % || stabil || &lt;br&gt; |-</v>
      </c>
    </row>
    <row r="92" spans="1:14" ht="15.95" customHeight="1">
      <c r="A92">
        <v>20</v>
      </c>
      <c r="B92" s="23" t="s">
        <v>15</v>
      </c>
      <c r="C92">
        <v>999</v>
      </c>
      <c r="D92" t="s">
        <v>16</v>
      </c>
      <c r="E92" t="s">
        <v>981</v>
      </c>
      <c r="N92" t="str">
        <f>CONCATENATE(" |}&lt;br&gt;* [http://atom.kaeri.re.kr/cgi-bin/nuclide?nuc=",B92," alle bekannten ",D92,"-Isotope]")</f>
        <v xml:space="preserve"> |}&lt;br&gt;* [http://atom.kaeri.re.kr/cgi-bin/nuclide?nuc=Ca alle bekannten Calcium-Isotope]</v>
      </c>
    </row>
    <row r="93" spans="1:14" ht="15.95" customHeight="1">
      <c r="A93">
        <v>21</v>
      </c>
      <c r="B93" s="23" t="s">
        <v>19</v>
      </c>
      <c r="C93" s="17">
        <v>0</v>
      </c>
      <c r="D93" t="s">
        <v>20</v>
      </c>
      <c r="E93" t="s">
        <v>981</v>
      </c>
      <c r="N93" t="str">
        <f>CONCATENATE("=== [[",D93,"]] ===&lt;br&gt;{| {{tabelle}}&lt;br&gt;! Isotop !! ",$D$1," !! [[",$E$1,"]] !! ",$F$1," &lt;br&gt; |-")</f>
        <v>=== [[Scandium]] ===&lt;br&gt;{| {{tabelle}}&lt;br&gt;! Isotop !! natürliche Häufigkeit !! [[Halbwertszeit]] !! Herkunft, techn. Bedeutung &lt;br&gt; |-</v>
      </c>
    </row>
    <row r="94" spans="1:14" ht="15.95" customHeight="1">
      <c r="A94" s="17">
        <v>21</v>
      </c>
      <c r="B94" s="21" t="s">
        <v>19</v>
      </c>
      <c r="C94" s="17">
        <v>45</v>
      </c>
      <c r="D94" s="17">
        <v>100</v>
      </c>
      <c r="E94" t="s">
        <v>981</v>
      </c>
      <c r="G94" t="str">
        <f>CONCATENATE("[","http://atom.kaeri.re.kr/cgi-bin/nuclide?nuc=",B94,"-",C94," &lt;sub&gt;",C94,"&lt;/sub&gt;",B94,"]")</f>
        <v>[http://atom.kaeri.re.kr/cgi-bin/nuclide?nuc=Sc-45 &lt;sub&gt;45&lt;/sub&gt;Sc]</v>
      </c>
      <c r="H94" t="str">
        <f>CONCATENATE(D94," % || ",E94)</f>
        <v>100 % || stabil</v>
      </c>
      <c r="I94" t="str">
        <f>CONCATENATE(" | ",G94," || ",H94," || ",F94)</f>
        <v xml:space="preserve"> | [http://atom.kaeri.re.kr/cgi-bin/nuclide?nuc=Sc-45 &lt;sub&gt;45&lt;/sub&gt;Sc] || 100 % || stabil || </v>
      </c>
      <c r="N94" t="str">
        <f>CONCATENATE(I94,"&lt;br&gt;"," |-")</f>
        <v xml:space="preserve"> | [http://atom.kaeri.re.kr/cgi-bin/nuclide?nuc=Sc-45 &lt;sub&gt;45&lt;/sub&gt;Sc] || 100 % || stabil || &lt;br&gt; |-</v>
      </c>
    </row>
    <row r="95" spans="1:14" ht="15.95" customHeight="1">
      <c r="A95">
        <v>21</v>
      </c>
      <c r="B95" s="23" t="s">
        <v>19</v>
      </c>
      <c r="C95">
        <v>999</v>
      </c>
      <c r="D95" t="s">
        <v>20</v>
      </c>
      <c r="E95" t="s">
        <v>981</v>
      </c>
      <c r="N95" t="str">
        <f>CONCATENATE(" |}&lt;br&gt;* [http://atom.kaeri.re.kr/cgi-bin/nuclide?nuc=",B95," alle bekannten ",D95,"-Isotope]")</f>
        <v xml:space="preserve"> |}&lt;br&gt;* [http://atom.kaeri.re.kr/cgi-bin/nuclide?nuc=Sc alle bekannten Scandium-Isotope]</v>
      </c>
    </row>
    <row r="96" spans="1:14" ht="15.95" customHeight="1">
      <c r="A96">
        <v>22</v>
      </c>
      <c r="B96" s="23" t="s">
        <v>22</v>
      </c>
      <c r="C96">
        <v>0</v>
      </c>
      <c r="D96" t="s">
        <v>23</v>
      </c>
      <c r="E96" t="s">
        <v>981</v>
      </c>
      <c r="N96" t="str">
        <f>CONCATENATE("=== [[",D96,"]] ===&lt;br&gt;{| {{tabelle}}&lt;br&gt;! Isotop !! ",$D$1," !! [[",$E$1,"]] !! ",$F$1," &lt;br&gt; |-")</f>
        <v>=== [[Titan]] ===&lt;br&gt;{| {{tabelle}}&lt;br&gt;! Isotop !! natürliche Häufigkeit !! [[Halbwertszeit]] !! Herkunft, techn. Bedeutung &lt;br&gt; |-</v>
      </c>
    </row>
    <row r="97" spans="1:14" ht="15.95" customHeight="1">
      <c r="A97" s="17">
        <v>22</v>
      </c>
      <c r="B97" s="21" t="s">
        <v>22</v>
      </c>
      <c r="C97" s="17">
        <v>46</v>
      </c>
      <c r="D97" s="17">
        <v>8.25</v>
      </c>
      <c r="E97" t="s">
        <v>981</v>
      </c>
      <c r="G97" t="str">
        <f>CONCATENATE("[","http://atom.kaeri.re.kr/cgi-bin/nuclide?nuc=",B97,"-",C97," &lt;sub&gt;",C97,"&lt;/sub&gt;",B97,"]")</f>
        <v>[http://atom.kaeri.re.kr/cgi-bin/nuclide?nuc=Ti-46 &lt;sub&gt;46&lt;/sub&gt;Ti]</v>
      </c>
      <c r="H97" t="str">
        <f>CONCATENATE(D97," % || ",E97)</f>
        <v>8,25 % || stabil</v>
      </c>
      <c r="I97" t="str">
        <f>CONCATENATE(" | ",G97," || ",H97," || ",F97)</f>
        <v xml:space="preserve"> | [http://atom.kaeri.re.kr/cgi-bin/nuclide?nuc=Ti-46 &lt;sub&gt;46&lt;/sub&gt;Ti] || 8,25 % || stabil || </v>
      </c>
      <c r="N97" t="str">
        <f>CONCATENATE(I97,"&lt;br&gt;"," |-")</f>
        <v xml:space="preserve"> | [http://atom.kaeri.re.kr/cgi-bin/nuclide?nuc=Ti-46 &lt;sub&gt;46&lt;/sub&gt;Ti] || 8,25 % || stabil || &lt;br&gt; |-</v>
      </c>
    </row>
    <row r="98" spans="1:14" ht="15.95" customHeight="1">
      <c r="A98" s="17">
        <v>22</v>
      </c>
      <c r="B98" s="21" t="s">
        <v>22</v>
      </c>
      <c r="C98" s="17">
        <v>47</v>
      </c>
      <c r="D98" s="17">
        <v>7.44</v>
      </c>
      <c r="E98" t="s">
        <v>981</v>
      </c>
      <c r="G98" t="str">
        <f>CONCATENATE("[","http://atom.kaeri.re.kr/cgi-bin/nuclide?nuc=",B98,"-",C98," &lt;sub&gt;",C98,"&lt;/sub&gt;",B98,"]")</f>
        <v>[http://atom.kaeri.re.kr/cgi-bin/nuclide?nuc=Ti-47 &lt;sub&gt;47&lt;/sub&gt;Ti]</v>
      </c>
      <c r="H98" t="str">
        <f>CONCATENATE(D98," % || ",E98)</f>
        <v>7,44 % || stabil</v>
      </c>
      <c r="I98" t="str">
        <f>CONCATENATE(" | ",G98," || ",H98," || ",F98)</f>
        <v xml:space="preserve"> | [http://atom.kaeri.re.kr/cgi-bin/nuclide?nuc=Ti-47 &lt;sub&gt;47&lt;/sub&gt;Ti] || 7,44 % || stabil || </v>
      </c>
      <c r="N98" t="str">
        <f>CONCATENATE(I98,"&lt;br&gt;"," |-")</f>
        <v xml:space="preserve"> | [http://atom.kaeri.re.kr/cgi-bin/nuclide?nuc=Ti-47 &lt;sub&gt;47&lt;/sub&gt;Ti] || 7,44 % || stabil || &lt;br&gt; |-</v>
      </c>
    </row>
    <row r="99" spans="1:14" ht="15.95" customHeight="1">
      <c r="A99" s="17">
        <v>22</v>
      </c>
      <c r="B99" s="21" t="s">
        <v>22</v>
      </c>
      <c r="C99" s="17">
        <v>48</v>
      </c>
      <c r="D99" s="17">
        <v>73.72</v>
      </c>
      <c r="E99" t="s">
        <v>981</v>
      </c>
      <c r="G99" t="str">
        <f>CONCATENATE("[","http://atom.kaeri.re.kr/cgi-bin/nuclide?nuc=",B99,"-",C99," &lt;sub&gt;",C99,"&lt;/sub&gt;",B99,"]")</f>
        <v>[http://atom.kaeri.re.kr/cgi-bin/nuclide?nuc=Ti-48 &lt;sub&gt;48&lt;/sub&gt;Ti]</v>
      </c>
      <c r="H99" t="str">
        <f>CONCATENATE(D99," % || ",E99)</f>
        <v>73,72 % || stabil</v>
      </c>
      <c r="I99" t="str">
        <f>CONCATENATE(" | ",G99," || ",H99," || ",F99)</f>
        <v xml:space="preserve"> | [http://atom.kaeri.re.kr/cgi-bin/nuclide?nuc=Ti-48 &lt;sub&gt;48&lt;/sub&gt;Ti] || 73,72 % || stabil || </v>
      </c>
      <c r="N99" t="str">
        <f>CONCATENATE(I99,"&lt;br&gt;"," |-")</f>
        <v xml:space="preserve"> | [http://atom.kaeri.re.kr/cgi-bin/nuclide?nuc=Ti-48 &lt;sub&gt;48&lt;/sub&gt;Ti] || 73,72 % || stabil || &lt;br&gt; |-</v>
      </c>
    </row>
    <row r="100" spans="1:14" ht="15.95" customHeight="1">
      <c r="A100" s="17">
        <v>22</v>
      </c>
      <c r="B100" s="21" t="s">
        <v>22</v>
      </c>
      <c r="C100" s="17">
        <v>49</v>
      </c>
      <c r="D100" s="17">
        <v>5.41</v>
      </c>
      <c r="E100" t="s">
        <v>981</v>
      </c>
      <c r="G100" t="str">
        <f>CONCATENATE("[","http://atom.kaeri.re.kr/cgi-bin/nuclide?nuc=",B100,"-",C100," &lt;sub&gt;",C100,"&lt;/sub&gt;",B100,"]")</f>
        <v>[http://atom.kaeri.re.kr/cgi-bin/nuclide?nuc=Ti-49 &lt;sub&gt;49&lt;/sub&gt;Ti]</v>
      </c>
      <c r="H100" t="str">
        <f>CONCATENATE(D100," % || ",E100)</f>
        <v>5,41 % || stabil</v>
      </c>
      <c r="I100" t="str">
        <f>CONCATENATE(" | ",G100," || ",H100," || ",F100)</f>
        <v xml:space="preserve"> | [http://atom.kaeri.re.kr/cgi-bin/nuclide?nuc=Ti-49 &lt;sub&gt;49&lt;/sub&gt;Ti] || 5,41 % || stabil || </v>
      </c>
      <c r="N100" t="str">
        <f>CONCATENATE(I100,"&lt;br&gt;"," |-")</f>
        <v xml:space="preserve"> | [http://atom.kaeri.re.kr/cgi-bin/nuclide?nuc=Ti-49 &lt;sub&gt;49&lt;/sub&gt;Ti] || 5,41 % || stabil || &lt;br&gt; |-</v>
      </c>
    </row>
    <row r="101" spans="1:14" ht="15.95" customHeight="1">
      <c r="A101" s="17">
        <v>22</v>
      </c>
      <c r="B101" s="21" t="s">
        <v>22</v>
      </c>
      <c r="C101" s="17">
        <v>50</v>
      </c>
      <c r="D101" s="17">
        <v>5.18</v>
      </c>
      <c r="E101" t="s">
        <v>981</v>
      </c>
      <c r="G101" t="str">
        <f>CONCATENATE("[","http://atom.kaeri.re.kr/cgi-bin/nuclide?nuc=",B101,"-",C101," &lt;sub&gt;",C101,"&lt;/sub&gt;",B101,"]")</f>
        <v>[http://atom.kaeri.re.kr/cgi-bin/nuclide?nuc=Ti-50 &lt;sub&gt;50&lt;/sub&gt;Ti]</v>
      </c>
      <c r="H101" t="str">
        <f>CONCATENATE(D101," % || ",E101)</f>
        <v>5,18 % || stabil</v>
      </c>
      <c r="I101" t="str">
        <f>CONCATENATE(" | ",G101," || ",H101," || ",F101)</f>
        <v xml:space="preserve"> | [http://atom.kaeri.re.kr/cgi-bin/nuclide?nuc=Ti-50 &lt;sub&gt;50&lt;/sub&gt;Ti] || 5,18 % || stabil || </v>
      </c>
      <c r="N101" t="str">
        <f>CONCATENATE(I101,"&lt;br&gt;"," |-")</f>
        <v xml:space="preserve"> | [http://atom.kaeri.re.kr/cgi-bin/nuclide?nuc=Ti-50 &lt;sub&gt;50&lt;/sub&gt;Ti] || 5,18 % || stabil || &lt;br&gt; |-</v>
      </c>
    </row>
    <row r="102" spans="1:14" ht="15.95" customHeight="1">
      <c r="A102">
        <v>22</v>
      </c>
      <c r="B102" s="23" t="s">
        <v>22</v>
      </c>
      <c r="C102">
        <v>999</v>
      </c>
      <c r="D102" t="s">
        <v>23</v>
      </c>
      <c r="E102" t="s">
        <v>981</v>
      </c>
      <c r="N102" t="str">
        <f>CONCATENATE(" |}&lt;br&gt;* [http://atom.kaeri.re.kr/cgi-bin/nuclide?nuc=",B102," alle bekannten ",D102,"-Isotope]")</f>
        <v xml:space="preserve"> |}&lt;br&gt;* [http://atom.kaeri.re.kr/cgi-bin/nuclide?nuc=Ti alle bekannten Titan-Isotope]</v>
      </c>
    </row>
    <row r="103" spans="1:14" ht="15.95" customHeight="1">
      <c r="A103">
        <v>23</v>
      </c>
      <c r="B103" s="23" t="s">
        <v>25</v>
      </c>
      <c r="C103" s="17">
        <v>0</v>
      </c>
      <c r="D103" t="s">
        <v>26</v>
      </c>
      <c r="E103" t="s">
        <v>981</v>
      </c>
      <c r="N103" t="str">
        <f>CONCATENATE("=== [[",D103,"]] ===&lt;br&gt;{| {{tabelle}}&lt;br&gt;! Isotop !! ",$D$1," !! [[",$E$1,"]] !! ",$F$1," &lt;br&gt; |-")</f>
        <v>=== [[Vanadium]] ===&lt;br&gt;{| {{tabelle}}&lt;br&gt;! Isotop !! natürliche Häufigkeit !! [[Halbwertszeit]] !! Herkunft, techn. Bedeutung &lt;br&gt; |-</v>
      </c>
    </row>
    <row r="104" spans="1:14" ht="15.95" customHeight="1">
      <c r="A104" s="17">
        <v>23</v>
      </c>
      <c r="B104" s="21" t="s">
        <v>25</v>
      </c>
      <c r="C104" s="17">
        <v>50</v>
      </c>
      <c r="D104" s="17">
        <v>0.25</v>
      </c>
      <c r="E104" t="s">
        <v>981</v>
      </c>
      <c r="G104" t="str">
        <f>CONCATENATE("[","http://atom.kaeri.re.kr/cgi-bin/nuclide?nuc=",B104,"-",C104," &lt;sub&gt;",C104,"&lt;/sub&gt;",B104,"]")</f>
        <v>[http://atom.kaeri.re.kr/cgi-bin/nuclide?nuc=V-50 &lt;sub&gt;50&lt;/sub&gt;V]</v>
      </c>
      <c r="H104" t="str">
        <f>CONCATENATE(D104," % || ",E104)</f>
        <v>0,25 % || stabil</v>
      </c>
      <c r="I104" t="str">
        <f>CONCATENATE(" | ",G104," || ",H104," || ",F104)</f>
        <v xml:space="preserve"> | [http://atom.kaeri.re.kr/cgi-bin/nuclide?nuc=V-50 &lt;sub&gt;50&lt;/sub&gt;V] || 0,25 % || stabil || </v>
      </c>
      <c r="N104" t="str">
        <f>CONCATENATE(I104,"&lt;br&gt;"," |-")</f>
        <v xml:space="preserve"> | [http://atom.kaeri.re.kr/cgi-bin/nuclide?nuc=V-50 &lt;sub&gt;50&lt;/sub&gt;V] || 0,25 % || stabil || &lt;br&gt; |-</v>
      </c>
    </row>
    <row r="105" spans="1:14" ht="15.95" customHeight="1">
      <c r="A105" s="17">
        <v>23</v>
      </c>
      <c r="B105" s="21" t="s">
        <v>25</v>
      </c>
      <c r="C105" s="17">
        <v>51</v>
      </c>
      <c r="D105" s="17">
        <v>99.75</v>
      </c>
      <c r="E105" t="s">
        <v>981</v>
      </c>
      <c r="G105" t="str">
        <f>CONCATENATE("[","http://atom.kaeri.re.kr/cgi-bin/nuclide?nuc=",B105,"-",C105," &lt;sub&gt;",C105,"&lt;/sub&gt;",B105,"]")</f>
        <v>[http://atom.kaeri.re.kr/cgi-bin/nuclide?nuc=V-51 &lt;sub&gt;51&lt;/sub&gt;V]</v>
      </c>
      <c r="H105" t="str">
        <f>CONCATENATE(D105," % || ",E105)</f>
        <v>99,75 % || stabil</v>
      </c>
      <c r="I105" t="str">
        <f>CONCATENATE(" | ",G105," || ",H105," || ",F105)</f>
        <v xml:space="preserve"> | [http://atom.kaeri.re.kr/cgi-bin/nuclide?nuc=V-51 &lt;sub&gt;51&lt;/sub&gt;V] || 99,75 % || stabil || </v>
      </c>
      <c r="N105" t="str">
        <f>CONCATENATE(I105,"&lt;br&gt;"," |-")</f>
        <v xml:space="preserve"> | [http://atom.kaeri.re.kr/cgi-bin/nuclide?nuc=V-51 &lt;sub&gt;51&lt;/sub&gt;V] || 99,75 % || stabil || &lt;br&gt; |-</v>
      </c>
    </row>
    <row r="106" spans="1:14" ht="15.95" customHeight="1">
      <c r="A106">
        <v>23</v>
      </c>
      <c r="B106" s="23" t="s">
        <v>25</v>
      </c>
      <c r="C106">
        <v>999</v>
      </c>
      <c r="D106" t="s">
        <v>26</v>
      </c>
      <c r="E106" t="s">
        <v>981</v>
      </c>
      <c r="N106" t="str">
        <f>CONCATENATE(" |}&lt;br&gt;* [http://atom.kaeri.re.kr/cgi-bin/nuclide?nuc=",B106," alle bekannten ",D106,"-Isotope]")</f>
        <v xml:space="preserve"> |}&lt;br&gt;* [http://atom.kaeri.re.kr/cgi-bin/nuclide?nuc=V alle bekannten Vanadium-Isotope]</v>
      </c>
    </row>
    <row r="107" spans="1:14" ht="15.95" customHeight="1">
      <c r="A107">
        <v>24</v>
      </c>
      <c r="B107" s="23" t="s">
        <v>29</v>
      </c>
      <c r="C107" s="17">
        <v>0</v>
      </c>
      <c r="D107" t="s">
        <v>30</v>
      </c>
      <c r="E107" t="s">
        <v>981</v>
      </c>
      <c r="N107" t="str">
        <f>CONCATENATE("=== [[",D107,"]] ===&lt;br&gt;{| {{tabelle}}&lt;br&gt;! Isotop !! ",$D$1," !! [[",$E$1,"]] !! ",$F$1," &lt;br&gt; |-")</f>
        <v>=== [[Chrom]] ===&lt;br&gt;{| {{tabelle}}&lt;br&gt;! Isotop !! natürliche Häufigkeit !! [[Halbwertszeit]] !! Herkunft, techn. Bedeutung &lt;br&gt; |-</v>
      </c>
    </row>
    <row r="108" spans="1:14" ht="15.95" customHeight="1">
      <c r="A108" s="17">
        <v>24</v>
      </c>
      <c r="B108" s="21" t="s">
        <v>29</v>
      </c>
      <c r="C108" s="17">
        <v>50</v>
      </c>
      <c r="D108" s="17">
        <v>4.3449999999999998</v>
      </c>
      <c r="E108" t="s">
        <v>981</v>
      </c>
      <c r="G108" t="str">
        <f>CONCATENATE("[","http://atom.kaeri.re.kr/cgi-bin/nuclide?nuc=",B108,"-",C108," &lt;sub&gt;",C108,"&lt;/sub&gt;",B108,"]")</f>
        <v>[http://atom.kaeri.re.kr/cgi-bin/nuclide?nuc=Cr-50 &lt;sub&gt;50&lt;/sub&gt;Cr]</v>
      </c>
      <c r="H108" t="str">
        <f>CONCATENATE(D108," % || ",E108)</f>
        <v>4,345 % || stabil</v>
      </c>
      <c r="I108" t="str">
        <f>CONCATENATE(" | ",G108," || ",H108," || ",F108)</f>
        <v xml:space="preserve"> | [http://atom.kaeri.re.kr/cgi-bin/nuclide?nuc=Cr-50 &lt;sub&gt;50&lt;/sub&gt;Cr] || 4,345 % || stabil || </v>
      </c>
      <c r="N108" t="str">
        <f>CONCATENATE(I108,"&lt;br&gt;"," |-")</f>
        <v xml:space="preserve"> | [http://atom.kaeri.re.kr/cgi-bin/nuclide?nuc=Cr-50 &lt;sub&gt;50&lt;/sub&gt;Cr] || 4,345 % || stabil || &lt;br&gt; |-</v>
      </c>
    </row>
    <row r="109" spans="1:14" ht="15.95" customHeight="1">
      <c r="A109" s="17">
        <v>24</v>
      </c>
      <c r="B109" s="21" t="s">
        <v>29</v>
      </c>
      <c r="C109" s="17">
        <v>52</v>
      </c>
      <c r="D109" s="17">
        <v>83.789000000000001</v>
      </c>
      <c r="E109" t="s">
        <v>981</v>
      </c>
      <c r="G109" t="str">
        <f>CONCATENATE("[","http://atom.kaeri.re.kr/cgi-bin/nuclide?nuc=",B109,"-",C109," &lt;sub&gt;",C109,"&lt;/sub&gt;",B109,"]")</f>
        <v>[http://atom.kaeri.re.kr/cgi-bin/nuclide?nuc=Cr-52 &lt;sub&gt;52&lt;/sub&gt;Cr]</v>
      </c>
      <c r="H109" t="str">
        <f>CONCATENATE(D109," % || ",E109)</f>
        <v>83,789 % || stabil</v>
      </c>
      <c r="I109" t="str">
        <f>CONCATENATE(" | ",G109," || ",H109," || ",F109)</f>
        <v xml:space="preserve"> | [http://atom.kaeri.re.kr/cgi-bin/nuclide?nuc=Cr-52 &lt;sub&gt;52&lt;/sub&gt;Cr] || 83,789 % || stabil || </v>
      </c>
      <c r="N109" t="str">
        <f>CONCATENATE(I109,"&lt;br&gt;"," |-")</f>
        <v xml:space="preserve"> | [http://atom.kaeri.re.kr/cgi-bin/nuclide?nuc=Cr-52 &lt;sub&gt;52&lt;/sub&gt;Cr] || 83,789 % || stabil || &lt;br&gt; |-</v>
      </c>
    </row>
    <row r="110" spans="1:14" ht="15.95" customHeight="1">
      <c r="A110" s="17">
        <v>24</v>
      </c>
      <c r="B110" s="21" t="s">
        <v>29</v>
      </c>
      <c r="C110" s="17">
        <v>53</v>
      </c>
      <c r="D110" s="17">
        <v>9.5009999999999994</v>
      </c>
      <c r="E110" t="s">
        <v>981</v>
      </c>
      <c r="G110" t="str">
        <f>CONCATENATE("[","http://atom.kaeri.re.kr/cgi-bin/nuclide?nuc=",B110,"-",C110," &lt;sub&gt;",C110,"&lt;/sub&gt;",B110,"]")</f>
        <v>[http://atom.kaeri.re.kr/cgi-bin/nuclide?nuc=Cr-53 &lt;sub&gt;53&lt;/sub&gt;Cr]</v>
      </c>
      <c r="H110" t="str">
        <f>CONCATENATE(D110," % || ",E110)</f>
        <v>9,501 % || stabil</v>
      </c>
      <c r="I110" t="str">
        <f>CONCATENATE(" | ",G110," || ",H110," || ",F110)</f>
        <v xml:space="preserve"> | [http://atom.kaeri.re.kr/cgi-bin/nuclide?nuc=Cr-53 &lt;sub&gt;53&lt;/sub&gt;Cr] || 9,501 % || stabil || </v>
      </c>
      <c r="N110" t="str">
        <f>CONCATENATE(I110,"&lt;br&gt;"," |-")</f>
        <v xml:space="preserve"> | [http://atom.kaeri.re.kr/cgi-bin/nuclide?nuc=Cr-53 &lt;sub&gt;53&lt;/sub&gt;Cr] || 9,501 % || stabil || &lt;br&gt; |-</v>
      </c>
    </row>
    <row r="111" spans="1:14" ht="15.95" customHeight="1">
      <c r="A111" s="17">
        <v>24</v>
      </c>
      <c r="B111" s="21" t="s">
        <v>29</v>
      </c>
      <c r="C111" s="17">
        <v>54</v>
      </c>
      <c r="D111" s="17">
        <v>2.3650000000000002</v>
      </c>
      <c r="E111" t="s">
        <v>981</v>
      </c>
      <c r="G111" t="str">
        <f>CONCATENATE("[","http://atom.kaeri.re.kr/cgi-bin/nuclide?nuc=",B111,"-",C111," &lt;sub&gt;",C111,"&lt;/sub&gt;",B111,"]")</f>
        <v>[http://atom.kaeri.re.kr/cgi-bin/nuclide?nuc=Cr-54 &lt;sub&gt;54&lt;/sub&gt;Cr]</v>
      </c>
      <c r="H111" t="str">
        <f>CONCATENATE(D111," % || ",E111)</f>
        <v>2,365 % || stabil</v>
      </c>
      <c r="I111" t="str">
        <f>CONCATENATE(" | ",G111," || ",H111," || ",F111)</f>
        <v xml:space="preserve"> | [http://atom.kaeri.re.kr/cgi-bin/nuclide?nuc=Cr-54 &lt;sub&gt;54&lt;/sub&gt;Cr] || 2,365 % || stabil || </v>
      </c>
      <c r="N111" t="str">
        <f>CONCATENATE(I111,"&lt;br&gt;"," |-")</f>
        <v xml:space="preserve"> | [http://atom.kaeri.re.kr/cgi-bin/nuclide?nuc=Cr-54 &lt;sub&gt;54&lt;/sub&gt;Cr] || 2,365 % || stabil || &lt;br&gt; |-</v>
      </c>
    </row>
    <row r="112" spans="1:14" ht="15.95" customHeight="1">
      <c r="A112">
        <v>24</v>
      </c>
      <c r="B112" s="23" t="s">
        <v>29</v>
      </c>
      <c r="C112">
        <v>999</v>
      </c>
      <c r="D112" t="s">
        <v>30</v>
      </c>
      <c r="E112" t="s">
        <v>981</v>
      </c>
      <c r="N112" t="str">
        <f>CONCATENATE(" |}&lt;br&gt;* [http://atom.kaeri.re.kr/cgi-bin/nuclide?nuc=",B112," alle bekannten ",D112,"-Isotope]")</f>
        <v xml:space="preserve"> |}&lt;br&gt;* [http://atom.kaeri.re.kr/cgi-bin/nuclide?nuc=Cr alle bekannten Chrom-Isotope]</v>
      </c>
    </row>
    <row r="113" spans="1:14" ht="15.95" customHeight="1">
      <c r="A113">
        <v>25</v>
      </c>
      <c r="B113" s="23" t="s">
        <v>33</v>
      </c>
      <c r="C113" s="17">
        <v>0</v>
      </c>
      <c r="D113" t="s">
        <v>34</v>
      </c>
      <c r="E113" t="s">
        <v>981</v>
      </c>
      <c r="N113" t="str">
        <f>CONCATENATE("=== [[",D113,"]] ===&lt;br&gt;{| {{tabelle}}&lt;br&gt;! Isotop !! ",$D$1," !! [[",$E$1,"]] !! ",$F$1," &lt;br&gt; |-")</f>
        <v>=== [[Mangan]] ===&lt;br&gt;{| {{tabelle}}&lt;br&gt;! Isotop !! natürliche Häufigkeit !! [[Halbwertszeit]] !! Herkunft, techn. Bedeutung &lt;br&gt; |-</v>
      </c>
    </row>
    <row r="114" spans="1:14" ht="15.95" customHeight="1">
      <c r="A114" s="17">
        <v>25</v>
      </c>
      <c r="B114" s="21" t="s">
        <v>33</v>
      </c>
      <c r="C114" s="17">
        <v>55</v>
      </c>
      <c r="D114" s="17">
        <v>100</v>
      </c>
      <c r="E114" t="s">
        <v>981</v>
      </c>
      <c r="G114" t="str">
        <f>CONCATENATE("[","http://atom.kaeri.re.kr/cgi-bin/nuclide?nuc=",B114,"-",C114," &lt;sub&gt;",C114,"&lt;/sub&gt;",B114,"]")</f>
        <v>[http://atom.kaeri.re.kr/cgi-bin/nuclide?nuc=Mn-55 &lt;sub&gt;55&lt;/sub&gt;Mn]</v>
      </c>
      <c r="H114" t="str">
        <f>CONCATENATE(D114," % || ",E114)</f>
        <v>100 % || stabil</v>
      </c>
      <c r="I114" t="str">
        <f>CONCATENATE(" | ",G114," || ",H114," || ",F114)</f>
        <v xml:space="preserve"> | [http://atom.kaeri.re.kr/cgi-bin/nuclide?nuc=Mn-55 &lt;sub&gt;55&lt;/sub&gt;Mn] || 100 % || stabil || </v>
      </c>
      <c r="N114" t="str">
        <f>CONCATENATE(I114,"&lt;br&gt;"," |-")</f>
        <v xml:space="preserve"> | [http://atom.kaeri.re.kr/cgi-bin/nuclide?nuc=Mn-55 &lt;sub&gt;55&lt;/sub&gt;Mn] || 100 % || stabil || &lt;br&gt; |-</v>
      </c>
    </row>
    <row r="115" spans="1:14" ht="15.95" customHeight="1">
      <c r="A115">
        <v>25</v>
      </c>
      <c r="B115" s="23" t="s">
        <v>33</v>
      </c>
      <c r="C115">
        <v>999</v>
      </c>
      <c r="D115" t="s">
        <v>34</v>
      </c>
      <c r="E115" t="s">
        <v>981</v>
      </c>
      <c r="N115" t="str">
        <f>CONCATENATE(" |}&lt;br&gt;* [http://atom.kaeri.re.kr/cgi-bin/nuclide?nuc=",B115," alle bekannten ",D115,"-Isotope]")</f>
        <v xml:space="preserve"> |}&lt;br&gt;* [http://atom.kaeri.re.kr/cgi-bin/nuclide?nuc=Mn alle bekannten Mangan-Isotope]</v>
      </c>
    </row>
    <row r="116" spans="1:14" ht="15.95" customHeight="1">
      <c r="A116">
        <v>26</v>
      </c>
      <c r="B116" s="23" t="s">
        <v>36</v>
      </c>
      <c r="C116" s="17">
        <v>0</v>
      </c>
      <c r="D116" t="s">
        <v>37</v>
      </c>
      <c r="E116" t="s">
        <v>981</v>
      </c>
      <c r="N116" t="str">
        <f>CONCATENATE("=== [[",D116,"]] ===&lt;br&gt;{| {{tabelle}}&lt;br&gt;! Isotop !! ",$D$1," !! [[",$E$1,"]] !! ",$F$1," &lt;br&gt; |-")</f>
        <v>=== [[Eisen]] ===&lt;br&gt;{| {{tabelle}}&lt;br&gt;! Isotop !! natürliche Häufigkeit !! [[Halbwertszeit]] !! Herkunft, techn. Bedeutung &lt;br&gt; |-</v>
      </c>
    </row>
    <row r="117" spans="1:14" ht="15.95" customHeight="1">
      <c r="A117" s="17">
        <v>26</v>
      </c>
      <c r="B117" s="21" t="s">
        <v>36</v>
      </c>
      <c r="C117" s="17">
        <v>54</v>
      </c>
      <c r="D117" s="17">
        <v>5.8449999999999998</v>
      </c>
      <c r="E117" t="s">
        <v>981</v>
      </c>
      <c r="G117" t="str">
        <f>CONCATENATE("[","http://atom.kaeri.re.kr/cgi-bin/nuclide?nuc=",B117,"-",C117," &lt;sub&gt;",C117,"&lt;/sub&gt;",B117,"]")</f>
        <v>[http://atom.kaeri.re.kr/cgi-bin/nuclide?nuc=Fe-54 &lt;sub&gt;54&lt;/sub&gt;Fe]</v>
      </c>
      <c r="H117" t="str">
        <f>CONCATENATE(D117," % || ",E117)</f>
        <v>5,845 % || stabil</v>
      </c>
      <c r="I117" t="str">
        <f>CONCATENATE(" | ",G117," || ",H117," || ",F117)</f>
        <v xml:space="preserve"> | [http://atom.kaeri.re.kr/cgi-bin/nuclide?nuc=Fe-54 &lt;sub&gt;54&lt;/sub&gt;Fe] || 5,845 % || stabil || </v>
      </c>
      <c r="N117" t="str">
        <f>CONCATENATE(I117,"&lt;br&gt;"," |-")</f>
        <v xml:space="preserve"> | [http://atom.kaeri.re.kr/cgi-bin/nuclide?nuc=Fe-54 &lt;sub&gt;54&lt;/sub&gt;Fe] || 5,845 % || stabil || &lt;br&gt; |-</v>
      </c>
    </row>
    <row r="118" spans="1:14" ht="15.95" customHeight="1">
      <c r="A118" s="17">
        <v>26</v>
      </c>
      <c r="B118" s="21" t="s">
        <v>36</v>
      </c>
      <c r="C118" s="17">
        <v>56</v>
      </c>
      <c r="D118" s="17">
        <v>91.754000000000005</v>
      </c>
      <c r="E118" t="s">
        <v>981</v>
      </c>
      <c r="G118" t="str">
        <f>CONCATENATE("[","http://atom.kaeri.re.kr/cgi-bin/nuclide?nuc=",B118,"-",C118," &lt;sub&gt;",C118,"&lt;/sub&gt;",B118,"]")</f>
        <v>[http://atom.kaeri.re.kr/cgi-bin/nuclide?nuc=Fe-56 &lt;sub&gt;56&lt;/sub&gt;Fe]</v>
      </c>
      <c r="H118" t="str">
        <f>CONCATENATE(D118," % || ",E118)</f>
        <v>91,754 % || stabil</v>
      </c>
      <c r="I118" t="str">
        <f>CONCATENATE(" | ",G118," || ",H118," || ",F118)</f>
        <v xml:space="preserve"> | [http://atom.kaeri.re.kr/cgi-bin/nuclide?nuc=Fe-56 &lt;sub&gt;56&lt;/sub&gt;Fe] || 91,754 % || stabil || </v>
      </c>
      <c r="N118" t="str">
        <f>CONCATENATE(I118,"&lt;br&gt;"," |-")</f>
        <v xml:space="preserve"> | [http://atom.kaeri.re.kr/cgi-bin/nuclide?nuc=Fe-56 &lt;sub&gt;56&lt;/sub&gt;Fe] || 91,754 % || stabil || &lt;br&gt; |-</v>
      </c>
    </row>
    <row r="119" spans="1:14" ht="15.95" customHeight="1">
      <c r="A119" s="17">
        <v>26</v>
      </c>
      <c r="B119" s="21" t="s">
        <v>36</v>
      </c>
      <c r="C119" s="17">
        <v>57</v>
      </c>
      <c r="D119" s="17">
        <v>2.1190000000000002</v>
      </c>
      <c r="E119" t="s">
        <v>981</v>
      </c>
      <c r="G119" t="str">
        <f>CONCATENATE("[","http://atom.kaeri.re.kr/cgi-bin/nuclide?nuc=",B119,"-",C119," &lt;sub&gt;",C119,"&lt;/sub&gt;",B119,"]")</f>
        <v>[http://atom.kaeri.re.kr/cgi-bin/nuclide?nuc=Fe-57 &lt;sub&gt;57&lt;/sub&gt;Fe]</v>
      </c>
      <c r="H119" t="str">
        <f>CONCATENATE(D119," % || ",E119)</f>
        <v>2,119 % || stabil</v>
      </c>
      <c r="I119" t="str">
        <f>CONCATENATE(" | ",G119," || ",H119," || ",F119)</f>
        <v xml:space="preserve"> | [http://atom.kaeri.re.kr/cgi-bin/nuclide?nuc=Fe-57 &lt;sub&gt;57&lt;/sub&gt;Fe] || 2,119 % || stabil || </v>
      </c>
      <c r="N119" t="str">
        <f>CONCATENATE(I119,"&lt;br&gt;"," |-")</f>
        <v xml:space="preserve"> | [http://atom.kaeri.re.kr/cgi-bin/nuclide?nuc=Fe-57 &lt;sub&gt;57&lt;/sub&gt;Fe] || 2,119 % || stabil || &lt;br&gt; |-</v>
      </c>
    </row>
    <row r="120" spans="1:14" ht="15.95" customHeight="1">
      <c r="A120" s="17">
        <v>26</v>
      </c>
      <c r="B120" s="21" t="s">
        <v>36</v>
      </c>
      <c r="C120" s="17">
        <v>58</v>
      </c>
      <c r="D120" s="17">
        <v>0.28199999999999997</v>
      </c>
      <c r="E120" t="s">
        <v>981</v>
      </c>
      <c r="G120" t="str">
        <f>CONCATENATE("[","http://atom.kaeri.re.kr/cgi-bin/nuclide?nuc=",B120,"-",C120," &lt;sub&gt;",C120,"&lt;/sub&gt;",B120,"]")</f>
        <v>[http://atom.kaeri.re.kr/cgi-bin/nuclide?nuc=Fe-58 &lt;sub&gt;58&lt;/sub&gt;Fe]</v>
      </c>
      <c r="H120" t="str">
        <f>CONCATENATE(D120," % || ",E120)</f>
        <v>0,282 % || stabil</v>
      </c>
      <c r="I120" t="str">
        <f>CONCATENATE(" | ",G120," || ",H120," || ",F120)</f>
        <v xml:space="preserve"> | [http://atom.kaeri.re.kr/cgi-bin/nuclide?nuc=Fe-58 &lt;sub&gt;58&lt;/sub&gt;Fe] || 0,282 % || stabil || </v>
      </c>
      <c r="N120" t="str">
        <f>CONCATENATE(I120,"&lt;br&gt;"," |-")</f>
        <v xml:space="preserve"> | [http://atom.kaeri.re.kr/cgi-bin/nuclide?nuc=Fe-58 &lt;sub&gt;58&lt;/sub&gt;Fe] || 0,282 % || stabil || &lt;br&gt; |-</v>
      </c>
    </row>
    <row r="121" spans="1:14" ht="15.95" customHeight="1">
      <c r="A121">
        <v>26</v>
      </c>
      <c r="B121" s="23" t="s">
        <v>36</v>
      </c>
      <c r="C121">
        <v>999</v>
      </c>
      <c r="D121" t="s">
        <v>37</v>
      </c>
      <c r="E121" t="s">
        <v>981</v>
      </c>
      <c r="N121" t="str">
        <f>CONCATENATE(" |}&lt;br&gt;* [http://atom.kaeri.re.kr/cgi-bin/nuclide?nuc=",B121," alle bekannten ",D121,"-Isotope]")</f>
        <v xml:space="preserve"> |}&lt;br&gt;* [http://atom.kaeri.re.kr/cgi-bin/nuclide?nuc=Fe alle bekannten Eisen-Isotope]</v>
      </c>
    </row>
    <row r="122" spans="1:14" ht="15.95" customHeight="1">
      <c r="A122">
        <v>27</v>
      </c>
      <c r="B122" s="23" t="s">
        <v>39</v>
      </c>
      <c r="C122" s="17">
        <v>0</v>
      </c>
      <c r="D122" t="s">
        <v>40</v>
      </c>
      <c r="E122" t="s">
        <v>981</v>
      </c>
      <c r="N122" t="str">
        <f>CONCATENATE("=== [[",D122,"]] ===&lt;br&gt;{| {{tabelle}}&lt;br&gt;! Isotop !! ",$D$1," !! [[",$E$1,"]] !! ",$F$1," &lt;br&gt; |-")</f>
        <v>=== [[Cobalt]] ===&lt;br&gt;{| {{tabelle}}&lt;br&gt;! Isotop !! natürliche Häufigkeit !! [[Halbwertszeit]] !! Herkunft, techn. Bedeutung &lt;br&gt; |-</v>
      </c>
    </row>
    <row r="123" spans="1:14" ht="15.95" customHeight="1">
      <c r="A123" s="17">
        <v>27</v>
      </c>
      <c r="B123" s="21" t="s">
        <v>39</v>
      </c>
      <c r="C123" s="17">
        <v>59</v>
      </c>
      <c r="D123" s="17">
        <v>100</v>
      </c>
      <c r="E123" t="s">
        <v>981</v>
      </c>
      <c r="G123" t="str">
        <f>CONCATENATE("[","http://atom.kaeri.re.kr/cgi-bin/nuclide?nuc=",B123,"-",C123," &lt;sub&gt;",C123,"&lt;/sub&gt;",B123,"]")</f>
        <v>[http://atom.kaeri.re.kr/cgi-bin/nuclide?nuc=Co-59 &lt;sub&gt;59&lt;/sub&gt;Co]</v>
      </c>
      <c r="H123" t="str">
        <f>CONCATENATE(D123," % || ",E123)</f>
        <v>100 % || stabil</v>
      </c>
      <c r="I123" t="str">
        <f>CONCATENATE(" | ",G123," || ",H123," || ",F123)</f>
        <v xml:space="preserve"> | [http://atom.kaeri.re.kr/cgi-bin/nuclide?nuc=Co-59 &lt;sub&gt;59&lt;/sub&gt;Co] || 100 % || stabil || </v>
      </c>
      <c r="N123" t="str">
        <f>CONCATENATE(I123,"&lt;br&gt;"," |-")</f>
        <v xml:space="preserve"> | [http://atom.kaeri.re.kr/cgi-bin/nuclide?nuc=Co-59 &lt;sub&gt;59&lt;/sub&gt;Co] || 100 % || stabil || &lt;br&gt; |-</v>
      </c>
    </row>
    <row r="124" spans="1:14" s="18" customFormat="1" ht="15.95" customHeight="1">
      <c r="A124" s="17">
        <v>27</v>
      </c>
      <c r="B124" s="22" t="s">
        <v>39</v>
      </c>
      <c r="C124" s="19">
        <v>60</v>
      </c>
      <c r="D124" s="18" t="s">
        <v>874</v>
      </c>
      <c r="E124" t="s">
        <v>950</v>
      </c>
      <c r="F124" t="s">
        <v>1003</v>
      </c>
      <c r="G124" t="str">
        <f>CONCATENATE("[","http://atom.kaeri.re.kr/cgi-bin/nuclide?nuc=",B124,"-",C124," &lt;sub&gt;",C124,"&lt;/sub&gt;",B124,"]")</f>
        <v>[http://atom.kaeri.re.kr/cgi-bin/nuclide?nuc=Co-60 &lt;sub&gt;60&lt;/sub&gt;Co]</v>
      </c>
      <c r="H124" t="str">
        <f>CONCATENATE(D124," % || ",E124)</f>
        <v>- % || 5,3 Jahre</v>
      </c>
      <c r="I124" t="str">
        <f>CONCATENATE(" | ",G124," || ",H124," || ",F124)</f>
        <v xml:space="preserve"> | [http://atom.kaeri.re.kr/cgi-bin/nuclide?nuc=Co-60 &lt;sub&gt;60&lt;/sub&gt;Co] || - % || 5,3 Jahre || [[radioaktiv]], Medizin, Kerntechnik</v>
      </c>
      <c r="J124"/>
      <c r="K124"/>
      <c r="L124"/>
      <c r="M124"/>
      <c r="N124" t="str">
        <f>CONCATENATE(I124,"&lt;br&gt;"," |-")</f>
        <v xml:space="preserve"> | [http://atom.kaeri.re.kr/cgi-bin/nuclide?nuc=Co-60 &lt;sub&gt;60&lt;/sub&gt;Co] || - % || 5,3 Jahre || [[radioaktiv]], Medizin, Kerntechnik&lt;br&gt; |-</v>
      </c>
    </row>
    <row r="125" spans="1:14" ht="15.95" customHeight="1">
      <c r="A125">
        <v>27</v>
      </c>
      <c r="B125" s="23" t="s">
        <v>39</v>
      </c>
      <c r="C125">
        <v>999</v>
      </c>
      <c r="D125" t="s">
        <v>40</v>
      </c>
      <c r="E125" t="s">
        <v>981</v>
      </c>
      <c r="N125" t="str">
        <f>CONCATENATE(" |}&lt;br&gt;* [http://atom.kaeri.re.kr/cgi-bin/nuclide?nuc=",B125," alle bekannten ",D125,"-Isotope]")</f>
        <v xml:space="preserve"> |}&lt;br&gt;* [http://atom.kaeri.re.kr/cgi-bin/nuclide?nuc=Co alle bekannten Cobalt-Isotope]</v>
      </c>
    </row>
    <row r="126" spans="1:14" ht="15.95" customHeight="1">
      <c r="A126">
        <v>28</v>
      </c>
      <c r="B126" s="23" t="s">
        <v>42</v>
      </c>
      <c r="C126" s="17">
        <v>0</v>
      </c>
      <c r="D126" t="s">
        <v>43</v>
      </c>
      <c r="E126" t="s">
        <v>981</v>
      </c>
      <c r="N126" t="str">
        <f>CONCATENATE("=== [[",D126,"]] ===&lt;br&gt;{| {{tabelle}}&lt;br&gt;! Isotop !! ",$D$1," !! [[",$E$1,"]] !! ",$F$1," &lt;br&gt; |-")</f>
        <v>=== [[Nickel]] ===&lt;br&gt;{| {{tabelle}}&lt;br&gt;! Isotop !! natürliche Häufigkeit !! [[Halbwertszeit]] !! Herkunft, techn. Bedeutung &lt;br&gt; |-</v>
      </c>
    </row>
    <row r="127" spans="1:14" ht="15.95" customHeight="1">
      <c r="A127" s="17">
        <v>28</v>
      </c>
      <c r="B127" s="21" t="s">
        <v>42</v>
      </c>
      <c r="C127" s="17">
        <v>58</v>
      </c>
      <c r="D127" s="17">
        <v>68.076899999999995</v>
      </c>
      <c r="E127" t="s">
        <v>981</v>
      </c>
      <c r="G127" t="str">
        <f>CONCATENATE("[","http://atom.kaeri.re.kr/cgi-bin/nuclide?nuc=",B127,"-",C127," &lt;sub&gt;",C127,"&lt;/sub&gt;",B127,"]")</f>
        <v>[http://atom.kaeri.re.kr/cgi-bin/nuclide?nuc=Ni-58 &lt;sub&gt;58&lt;/sub&gt;Ni]</v>
      </c>
      <c r="H127" t="str">
        <f>CONCATENATE(D127," % || ",E127)</f>
        <v>68,0769 % || stabil</v>
      </c>
      <c r="I127" t="str">
        <f>CONCATENATE(" | ",G127," || ",H127," || ",F127)</f>
        <v xml:space="preserve"> | [http://atom.kaeri.re.kr/cgi-bin/nuclide?nuc=Ni-58 &lt;sub&gt;58&lt;/sub&gt;Ni] || 68,0769 % || stabil || </v>
      </c>
      <c r="N127" t="str">
        <f>CONCATENATE(I127,"&lt;br&gt;"," |-")</f>
        <v xml:space="preserve"> | [http://atom.kaeri.re.kr/cgi-bin/nuclide?nuc=Ni-58 &lt;sub&gt;58&lt;/sub&gt;Ni] || 68,0769 % || stabil || &lt;br&gt; |-</v>
      </c>
    </row>
    <row r="128" spans="1:14" ht="15.95" customHeight="1">
      <c r="A128" s="17">
        <v>28</v>
      </c>
      <c r="B128" s="21" t="s">
        <v>42</v>
      </c>
      <c r="C128" s="17">
        <v>60</v>
      </c>
      <c r="D128" s="17">
        <v>26.223099999999999</v>
      </c>
      <c r="E128" t="s">
        <v>981</v>
      </c>
      <c r="G128" t="str">
        <f>CONCATENATE("[","http://atom.kaeri.re.kr/cgi-bin/nuclide?nuc=",B128,"-",C128," &lt;sub&gt;",C128,"&lt;/sub&gt;",B128,"]")</f>
        <v>[http://atom.kaeri.re.kr/cgi-bin/nuclide?nuc=Ni-60 &lt;sub&gt;60&lt;/sub&gt;Ni]</v>
      </c>
      <c r="H128" t="str">
        <f>CONCATENATE(D128," % || ",E128)</f>
        <v>26,2231 % || stabil</v>
      </c>
      <c r="I128" t="str">
        <f>CONCATENATE(" | ",G128," || ",H128," || ",F128)</f>
        <v xml:space="preserve"> | [http://atom.kaeri.re.kr/cgi-bin/nuclide?nuc=Ni-60 &lt;sub&gt;60&lt;/sub&gt;Ni] || 26,2231 % || stabil || </v>
      </c>
      <c r="N128" t="str">
        <f>CONCATENATE(I128,"&lt;br&gt;"," |-")</f>
        <v xml:space="preserve"> | [http://atom.kaeri.re.kr/cgi-bin/nuclide?nuc=Ni-60 &lt;sub&gt;60&lt;/sub&gt;Ni] || 26,2231 % || stabil || &lt;br&gt; |-</v>
      </c>
    </row>
    <row r="129" spans="1:14" ht="15.95" customHeight="1">
      <c r="A129" s="17">
        <v>28</v>
      </c>
      <c r="B129" s="21" t="s">
        <v>42</v>
      </c>
      <c r="C129" s="17">
        <v>61</v>
      </c>
      <c r="D129" s="17">
        <v>1.1398999999999999</v>
      </c>
      <c r="E129" t="s">
        <v>981</v>
      </c>
      <c r="G129" t="str">
        <f>CONCATENATE("[","http://atom.kaeri.re.kr/cgi-bin/nuclide?nuc=",B129,"-",C129," &lt;sub&gt;",C129,"&lt;/sub&gt;",B129,"]")</f>
        <v>[http://atom.kaeri.re.kr/cgi-bin/nuclide?nuc=Ni-61 &lt;sub&gt;61&lt;/sub&gt;Ni]</v>
      </c>
      <c r="H129" t="str">
        <f>CONCATENATE(D129," % || ",E129)</f>
        <v>1,1399 % || stabil</v>
      </c>
      <c r="I129" t="str">
        <f>CONCATENATE(" | ",G129," || ",H129," || ",F129)</f>
        <v xml:space="preserve"> | [http://atom.kaeri.re.kr/cgi-bin/nuclide?nuc=Ni-61 &lt;sub&gt;61&lt;/sub&gt;Ni] || 1,1399 % || stabil || </v>
      </c>
      <c r="N129" t="str">
        <f>CONCATENATE(I129,"&lt;br&gt;"," |-")</f>
        <v xml:space="preserve"> | [http://atom.kaeri.re.kr/cgi-bin/nuclide?nuc=Ni-61 &lt;sub&gt;61&lt;/sub&gt;Ni] || 1,1399 % || stabil || &lt;br&gt; |-</v>
      </c>
    </row>
    <row r="130" spans="1:14" ht="15.95" customHeight="1">
      <c r="A130" s="17">
        <v>28</v>
      </c>
      <c r="B130" s="21" t="s">
        <v>42</v>
      </c>
      <c r="C130" s="17">
        <v>62</v>
      </c>
      <c r="D130" s="17">
        <v>3.6345000000000001</v>
      </c>
      <c r="E130" t="s">
        <v>981</v>
      </c>
      <c r="G130" t="str">
        <f>CONCATENATE("[","http://atom.kaeri.re.kr/cgi-bin/nuclide?nuc=",B130,"-",C130," &lt;sub&gt;",C130,"&lt;/sub&gt;",B130,"]")</f>
        <v>[http://atom.kaeri.re.kr/cgi-bin/nuclide?nuc=Ni-62 &lt;sub&gt;62&lt;/sub&gt;Ni]</v>
      </c>
      <c r="H130" t="str">
        <f>CONCATENATE(D130," % || ",E130)</f>
        <v>3,6345 % || stabil</v>
      </c>
      <c r="I130" t="str">
        <f>CONCATENATE(" | ",G130," || ",H130," || ",F130)</f>
        <v xml:space="preserve"> | [http://atom.kaeri.re.kr/cgi-bin/nuclide?nuc=Ni-62 &lt;sub&gt;62&lt;/sub&gt;Ni] || 3,6345 % || stabil || </v>
      </c>
      <c r="N130" t="str">
        <f>CONCATENATE(I130,"&lt;br&gt;"," |-")</f>
        <v xml:space="preserve"> | [http://atom.kaeri.re.kr/cgi-bin/nuclide?nuc=Ni-62 &lt;sub&gt;62&lt;/sub&gt;Ni] || 3,6345 % || stabil || &lt;br&gt; |-</v>
      </c>
    </row>
    <row r="131" spans="1:14" ht="15.95" customHeight="1">
      <c r="A131" s="17">
        <v>28</v>
      </c>
      <c r="B131" s="21" t="s">
        <v>42</v>
      </c>
      <c r="C131" s="17">
        <v>64</v>
      </c>
      <c r="D131" s="17">
        <v>0.92559999999999998</v>
      </c>
      <c r="E131" t="s">
        <v>981</v>
      </c>
      <c r="G131" t="str">
        <f>CONCATENATE("[","http://atom.kaeri.re.kr/cgi-bin/nuclide?nuc=",B131,"-",C131," &lt;sub&gt;",C131,"&lt;/sub&gt;",B131,"]")</f>
        <v>[http://atom.kaeri.re.kr/cgi-bin/nuclide?nuc=Ni-64 &lt;sub&gt;64&lt;/sub&gt;Ni]</v>
      </c>
      <c r="H131" t="str">
        <f>CONCATENATE(D131," % || ",E131)</f>
        <v>0,9256 % || stabil</v>
      </c>
      <c r="I131" t="str">
        <f>CONCATENATE(" | ",G131," || ",H131," || ",F131)</f>
        <v xml:space="preserve"> | [http://atom.kaeri.re.kr/cgi-bin/nuclide?nuc=Ni-64 &lt;sub&gt;64&lt;/sub&gt;Ni] || 0,9256 % || stabil || </v>
      </c>
      <c r="N131" t="str">
        <f>CONCATENATE(I131,"&lt;br&gt;"," |-")</f>
        <v xml:space="preserve"> | [http://atom.kaeri.re.kr/cgi-bin/nuclide?nuc=Ni-64 &lt;sub&gt;64&lt;/sub&gt;Ni] || 0,9256 % || stabil || &lt;br&gt; |-</v>
      </c>
    </row>
    <row r="132" spans="1:14" ht="15.95" customHeight="1">
      <c r="A132">
        <v>28</v>
      </c>
      <c r="B132" s="23" t="s">
        <v>42</v>
      </c>
      <c r="C132">
        <v>999</v>
      </c>
      <c r="D132" t="s">
        <v>43</v>
      </c>
      <c r="E132" t="s">
        <v>981</v>
      </c>
      <c r="N132" t="str">
        <f>CONCATENATE(" |}&lt;br&gt;* [http://atom.kaeri.re.kr/cgi-bin/nuclide?nuc=",B132," alle bekannten ",D132,"-Isotope]")</f>
        <v xml:space="preserve"> |}&lt;br&gt;* [http://atom.kaeri.re.kr/cgi-bin/nuclide?nuc=Ni alle bekannten Nickel-Isotope]</v>
      </c>
    </row>
    <row r="133" spans="1:14" ht="15.95" customHeight="1">
      <c r="A133">
        <v>29</v>
      </c>
      <c r="B133" s="23" t="s">
        <v>45</v>
      </c>
      <c r="C133" s="17">
        <v>0</v>
      </c>
      <c r="D133" t="s">
        <v>46</v>
      </c>
      <c r="E133" t="s">
        <v>981</v>
      </c>
      <c r="N133" t="str">
        <f>CONCATENATE("=== [[",D133,"]] ===&lt;br&gt;{| {{tabelle}}&lt;br&gt;! Isotop !! ",$D$1," !! [[",$E$1,"]] !! ",$F$1," &lt;br&gt; |-")</f>
        <v>=== [[Kupfer]] ===&lt;br&gt;{| {{tabelle}}&lt;br&gt;! Isotop !! natürliche Häufigkeit !! [[Halbwertszeit]] !! Herkunft, techn. Bedeutung &lt;br&gt; |-</v>
      </c>
    </row>
    <row r="134" spans="1:14" ht="15.95" customHeight="1">
      <c r="A134" s="17">
        <v>29</v>
      </c>
      <c r="B134" s="21" t="s">
        <v>45</v>
      </c>
      <c r="C134" s="17">
        <v>63</v>
      </c>
      <c r="D134" s="17">
        <v>69.17</v>
      </c>
      <c r="E134" t="s">
        <v>981</v>
      </c>
      <c r="G134" t="str">
        <f>CONCATENATE("[","http://atom.kaeri.re.kr/cgi-bin/nuclide?nuc=",B134,"-",C134," &lt;sub&gt;",C134,"&lt;/sub&gt;",B134,"]")</f>
        <v>[http://atom.kaeri.re.kr/cgi-bin/nuclide?nuc=Cu-63 &lt;sub&gt;63&lt;/sub&gt;Cu]</v>
      </c>
      <c r="H134" t="str">
        <f>CONCATENATE(D134," % || ",E134)</f>
        <v>69,17 % || stabil</v>
      </c>
      <c r="I134" t="str">
        <f>CONCATENATE(" | ",G134," || ",H134," || ",F134)</f>
        <v xml:space="preserve"> | [http://atom.kaeri.re.kr/cgi-bin/nuclide?nuc=Cu-63 &lt;sub&gt;63&lt;/sub&gt;Cu] || 69,17 % || stabil || </v>
      </c>
      <c r="N134" t="str">
        <f>CONCATENATE(I134,"&lt;br&gt;"," |-")</f>
        <v xml:space="preserve"> | [http://atom.kaeri.re.kr/cgi-bin/nuclide?nuc=Cu-63 &lt;sub&gt;63&lt;/sub&gt;Cu] || 69,17 % || stabil || &lt;br&gt; |-</v>
      </c>
    </row>
    <row r="135" spans="1:14" ht="15.95" customHeight="1">
      <c r="A135" s="17">
        <v>29</v>
      </c>
      <c r="B135" s="21" t="s">
        <v>45</v>
      </c>
      <c r="C135" s="17">
        <v>65</v>
      </c>
      <c r="D135" s="17">
        <v>30.83</v>
      </c>
      <c r="E135" t="s">
        <v>981</v>
      </c>
      <c r="G135" t="str">
        <f>CONCATENATE("[","http://atom.kaeri.re.kr/cgi-bin/nuclide?nuc=",B135,"-",C135," &lt;sub&gt;",C135,"&lt;/sub&gt;",B135,"]")</f>
        <v>[http://atom.kaeri.re.kr/cgi-bin/nuclide?nuc=Cu-65 &lt;sub&gt;65&lt;/sub&gt;Cu]</v>
      </c>
      <c r="H135" t="str">
        <f>CONCATENATE(D135," % || ",E135)</f>
        <v>30,83 % || stabil</v>
      </c>
      <c r="I135" t="str">
        <f>CONCATENATE(" | ",G135," || ",H135," || ",F135)</f>
        <v xml:space="preserve"> | [http://atom.kaeri.re.kr/cgi-bin/nuclide?nuc=Cu-65 &lt;sub&gt;65&lt;/sub&gt;Cu] || 30,83 % || stabil || </v>
      </c>
      <c r="N135" t="str">
        <f>CONCATENATE(I135,"&lt;br&gt;"," |-")</f>
        <v xml:space="preserve"> | [http://atom.kaeri.re.kr/cgi-bin/nuclide?nuc=Cu-65 &lt;sub&gt;65&lt;/sub&gt;Cu] || 30,83 % || stabil || &lt;br&gt; |-</v>
      </c>
    </row>
    <row r="136" spans="1:14" ht="15.95" customHeight="1">
      <c r="A136">
        <v>29</v>
      </c>
      <c r="B136" s="23" t="s">
        <v>45</v>
      </c>
      <c r="C136">
        <v>999</v>
      </c>
      <c r="D136" t="s">
        <v>46</v>
      </c>
      <c r="E136" t="s">
        <v>981</v>
      </c>
      <c r="N136" t="str">
        <f>CONCATENATE(" |}&lt;br&gt;* [http://atom.kaeri.re.kr/cgi-bin/nuclide?nuc=",B136," alle bekannten ",D136,"-Isotope]")</f>
        <v xml:space="preserve"> |}&lt;br&gt;* [http://atom.kaeri.re.kr/cgi-bin/nuclide?nuc=Cu alle bekannten Kupfer-Isotope]</v>
      </c>
    </row>
    <row r="137" spans="1:14" ht="15.95" customHeight="1">
      <c r="A137">
        <v>30</v>
      </c>
      <c r="B137" s="23" t="s">
        <v>49</v>
      </c>
      <c r="C137" s="17">
        <v>0</v>
      </c>
      <c r="D137" t="s">
        <v>50</v>
      </c>
      <c r="E137" t="s">
        <v>981</v>
      </c>
      <c r="N137" t="str">
        <f>CONCATENATE("=== [[",D137,"]] ===&lt;br&gt;{| {{tabelle}}&lt;br&gt;! Isotop !! ",$D$1," !! [[",$E$1,"]] !! ",$F$1," &lt;br&gt; |-")</f>
        <v>=== [[Zink]] ===&lt;br&gt;{| {{tabelle}}&lt;br&gt;! Isotop !! natürliche Häufigkeit !! [[Halbwertszeit]] !! Herkunft, techn. Bedeutung &lt;br&gt; |-</v>
      </c>
    </row>
    <row r="138" spans="1:14" ht="15.95" customHeight="1">
      <c r="A138" s="17">
        <v>30</v>
      </c>
      <c r="B138" s="21" t="s">
        <v>49</v>
      </c>
      <c r="C138" s="17">
        <v>64</v>
      </c>
      <c r="D138" s="17">
        <v>48.63</v>
      </c>
      <c r="E138" t="s">
        <v>981</v>
      </c>
      <c r="G138" t="str">
        <f>CONCATENATE("[","http://atom.kaeri.re.kr/cgi-bin/nuclide?nuc=",B138,"-",C138," &lt;sub&gt;",C138,"&lt;/sub&gt;",B138,"]")</f>
        <v>[http://atom.kaeri.re.kr/cgi-bin/nuclide?nuc=Zn-64 &lt;sub&gt;64&lt;/sub&gt;Zn]</v>
      </c>
      <c r="H138" t="str">
        <f>CONCATENATE(D138," % || ",E138)</f>
        <v>48,63 % || stabil</v>
      </c>
      <c r="I138" t="str">
        <f>CONCATENATE(" | ",G138," || ",H138," || ",F138)</f>
        <v xml:space="preserve"> | [http://atom.kaeri.re.kr/cgi-bin/nuclide?nuc=Zn-64 &lt;sub&gt;64&lt;/sub&gt;Zn] || 48,63 % || stabil || </v>
      </c>
      <c r="N138" t="str">
        <f>CONCATENATE(I138,"&lt;br&gt;"," |-")</f>
        <v xml:space="preserve"> | [http://atom.kaeri.re.kr/cgi-bin/nuclide?nuc=Zn-64 &lt;sub&gt;64&lt;/sub&gt;Zn] || 48,63 % || stabil || &lt;br&gt; |-</v>
      </c>
    </row>
    <row r="139" spans="1:14" ht="15.95" customHeight="1">
      <c r="A139" s="17">
        <v>30</v>
      </c>
      <c r="B139" s="21" t="s">
        <v>49</v>
      </c>
      <c r="C139" s="17">
        <v>66</v>
      </c>
      <c r="D139" s="17">
        <v>27.9</v>
      </c>
      <c r="E139" t="s">
        <v>981</v>
      </c>
      <c r="G139" t="str">
        <f>CONCATENATE("[","http://atom.kaeri.re.kr/cgi-bin/nuclide?nuc=",B139,"-",C139," &lt;sub&gt;",C139,"&lt;/sub&gt;",B139,"]")</f>
        <v>[http://atom.kaeri.re.kr/cgi-bin/nuclide?nuc=Zn-66 &lt;sub&gt;66&lt;/sub&gt;Zn]</v>
      </c>
      <c r="H139" t="str">
        <f>CONCATENATE(D139," % || ",E139)</f>
        <v>27,9 % || stabil</v>
      </c>
      <c r="I139" t="str">
        <f>CONCATENATE(" | ",G139," || ",H139," || ",F139)</f>
        <v xml:space="preserve"> | [http://atom.kaeri.re.kr/cgi-bin/nuclide?nuc=Zn-66 &lt;sub&gt;66&lt;/sub&gt;Zn] || 27,9 % || stabil || </v>
      </c>
      <c r="N139" t="str">
        <f>CONCATENATE(I139,"&lt;br&gt;"," |-")</f>
        <v xml:space="preserve"> | [http://atom.kaeri.re.kr/cgi-bin/nuclide?nuc=Zn-66 &lt;sub&gt;66&lt;/sub&gt;Zn] || 27,9 % || stabil || &lt;br&gt; |-</v>
      </c>
    </row>
    <row r="140" spans="1:14" ht="15.95" customHeight="1">
      <c r="A140" s="17">
        <v>30</v>
      </c>
      <c r="B140" s="21" t="s">
        <v>49</v>
      </c>
      <c r="C140" s="17">
        <v>67</v>
      </c>
      <c r="D140" s="17">
        <v>4.0999999999999996</v>
      </c>
      <c r="E140" t="s">
        <v>981</v>
      </c>
      <c r="G140" t="str">
        <f>CONCATENATE("[","http://atom.kaeri.re.kr/cgi-bin/nuclide?nuc=",B140,"-",C140," &lt;sub&gt;",C140,"&lt;/sub&gt;",B140,"]")</f>
        <v>[http://atom.kaeri.re.kr/cgi-bin/nuclide?nuc=Zn-67 &lt;sub&gt;67&lt;/sub&gt;Zn]</v>
      </c>
      <c r="H140" t="str">
        <f>CONCATENATE(D140," % || ",E140)</f>
        <v>4,1 % || stabil</v>
      </c>
      <c r="I140" t="str">
        <f>CONCATENATE(" | ",G140," || ",H140," || ",F140)</f>
        <v xml:space="preserve"> | [http://atom.kaeri.re.kr/cgi-bin/nuclide?nuc=Zn-67 &lt;sub&gt;67&lt;/sub&gt;Zn] || 4,1 % || stabil || </v>
      </c>
      <c r="N140" t="str">
        <f>CONCATENATE(I140,"&lt;br&gt;"," |-")</f>
        <v xml:space="preserve"> | [http://atom.kaeri.re.kr/cgi-bin/nuclide?nuc=Zn-67 &lt;sub&gt;67&lt;/sub&gt;Zn] || 4,1 % || stabil || &lt;br&gt; |-</v>
      </c>
    </row>
    <row r="141" spans="1:14" ht="15.95" customHeight="1">
      <c r="A141" s="17">
        <v>30</v>
      </c>
      <c r="B141" s="21" t="s">
        <v>49</v>
      </c>
      <c r="C141" s="17">
        <v>68</v>
      </c>
      <c r="D141" s="17">
        <v>18.75</v>
      </c>
      <c r="E141" t="s">
        <v>981</v>
      </c>
      <c r="G141" t="str">
        <f>CONCATENATE("[","http://atom.kaeri.re.kr/cgi-bin/nuclide?nuc=",B141,"-",C141," &lt;sub&gt;",C141,"&lt;/sub&gt;",B141,"]")</f>
        <v>[http://atom.kaeri.re.kr/cgi-bin/nuclide?nuc=Zn-68 &lt;sub&gt;68&lt;/sub&gt;Zn]</v>
      </c>
      <c r="H141" t="str">
        <f>CONCATENATE(D141," % || ",E141)</f>
        <v>18,75 % || stabil</v>
      </c>
      <c r="I141" t="str">
        <f>CONCATENATE(" | ",G141," || ",H141," || ",F141)</f>
        <v xml:space="preserve"> | [http://atom.kaeri.re.kr/cgi-bin/nuclide?nuc=Zn-68 &lt;sub&gt;68&lt;/sub&gt;Zn] || 18,75 % || stabil || </v>
      </c>
      <c r="N141" t="str">
        <f>CONCATENATE(I141,"&lt;br&gt;"," |-")</f>
        <v xml:space="preserve"> | [http://atom.kaeri.re.kr/cgi-bin/nuclide?nuc=Zn-68 &lt;sub&gt;68&lt;/sub&gt;Zn] || 18,75 % || stabil || &lt;br&gt; |-</v>
      </c>
    </row>
    <row r="142" spans="1:14" ht="15.95" customHeight="1">
      <c r="A142" s="17">
        <v>30</v>
      </c>
      <c r="B142" s="21" t="s">
        <v>49</v>
      </c>
      <c r="C142" s="17">
        <v>70</v>
      </c>
      <c r="D142" s="17">
        <v>0.62</v>
      </c>
      <c r="E142" t="s">
        <v>981</v>
      </c>
      <c r="G142" t="str">
        <f>CONCATENATE("[","http://atom.kaeri.re.kr/cgi-bin/nuclide?nuc=",B142,"-",C142," &lt;sub&gt;",C142,"&lt;/sub&gt;",B142,"]")</f>
        <v>[http://atom.kaeri.re.kr/cgi-bin/nuclide?nuc=Zn-70 &lt;sub&gt;70&lt;/sub&gt;Zn]</v>
      </c>
      <c r="H142" t="str">
        <f>CONCATENATE(D142," % || ",E142)</f>
        <v>0,62 % || stabil</v>
      </c>
      <c r="I142" t="str">
        <f>CONCATENATE(" | ",G142," || ",H142," || ",F142)</f>
        <v xml:space="preserve"> | [http://atom.kaeri.re.kr/cgi-bin/nuclide?nuc=Zn-70 &lt;sub&gt;70&lt;/sub&gt;Zn] || 0,62 % || stabil || </v>
      </c>
      <c r="N142" t="str">
        <f>CONCATENATE(I142,"&lt;br&gt;"," |-")</f>
        <v xml:space="preserve"> | [http://atom.kaeri.re.kr/cgi-bin/nuclide?nuc=Zn-70 &lt;sub&gt;70&lt;/sub&gt;Zn] || 0,62 % || stabil || &lt;br&gt; |-</v>
      </c>
    </row>
    <row r="143" spans="1:14" ht="15.95" customHeight="1">
      <c r="A143">
        <v>30</v>
      </c>
      <c r="B143" s="23" t="s">
        <v>49</v>
      </c>
      <c r="C143">
        <v>999</v>
      </c>
      <c r="D143" t="s">
        <v>50</v>
      </c>
      <c r="E143" t="s">
        <v>981</v>
      </c>
      <c r="N143" t="str">
        <f>CONCATENATE(" |}&lt;br&gt;* [http://atom.kaeri.re.kr/cgi-bin/nuclide?nuc=",B143," alle bekannten ",D143,"-Isotope]")</f>
        <v xml:space="preserve"> |}&lt;br&gt;* [http://atom.kaeri.re.kr/cgi-bin/nuclide?nuc=Zn alle bekannten Zink-Isotope]</v>
      </c>
    </row>
    <row r="144" spans="1:14" ht="15.95" customHeight="1">
      <c r="A144">
        <v>31</v>
      </c>
      <c r="B144" s="23" t="s">
        <v>53</v>
      </c>
      <c r="C144" s="17">
        <v>0</v>
      </c>
      <c r="D144" t="s">
        <v>54</v>
      </c>
      <c r="E144" t="s">
        <v>981</v>
      </c>
      <c r="N144" t="str">
        <f>CONCATENATE("=== [[",D144,"]] ===&lt;br&gt;{| {{tabelle}}&lt;br&gt;! Isotop !! ",$D$1," !! [[",$E$1,"]] !! ",$F$1," &lt;br&gt; |-")</f>
        <v>=== [[Gallium]] ===&lt;br&gt;{| {{tabelle}}&lt;br&gt;! Isotop !! natürliche Häufigkeit !! [[Halbwertszeit]] !! Herkunft, techn. Bedeutung &lt;br&gt; |-</v>
      </c>
    </row>
    <row r="145" spans="1:14" ht="15.95" customHeight="1">
      <c r="A145" s="17">
        <v>31</v>
      </c>
      <c r="B145" s="21" t="s">
        <v>53</v>
      </c>
      <c r="C145" s="17">
        <v>69</v>
      </c>
      <c r="D145" s="17">
        <v>60.107999999999997</v>
      </c>
      <c r="E145" t="s">
        <v>981</v>
      </c>
      <c r="G145" t="str">
        <f>CONCATENATE("[","http://atom.kaeri.re.kr/cgi-bin/nuclide?nuc=",B145,"-",C145," &lt;sub&gt;",C145,"&lt;/sub&gt;",B145,"]")</f>
        <v>[http://atom.kaeri.re.kr/cgi-bin/nuclide?nuc=Ga-69 &lt;sub&gt;69&lt;/sub&gt;Ga]</v>
      </c>
      <c r="H145" t="str">
        <f>CONCATENATE(D145," % || ",E145)</f>
        <v>60,108 % || stabil</v>
      </c>
      <c r="I145" t="str">
        <f>CONCATENATE(" | ",G145," || ",H145," || ",F145)</f>
        <v xml:space="preserve"> | [http://atom.kaeri.re.kr/cgi-bin/nuclide?nuc=Ga-69 &lt;sub&gt;69&lt;/sub&gt;Ga] || 60,108 % || stabil || </v>
      </c>
      <c r="N145" t="str">
        <f>CONCATENATE(I145,"&lt;br&gt;"," |-")</f>
        <v xml:space="preserve"> | [http://atom.kaeri.re.kr/cgi-bin/nuclide?nuc=Ga-69 &lt;sub&gt;69&lt;/sub&gt;Ga] || 60,108 % || stabil || &lt;br&gt; |-</v>
      </c>
    </row>
    <row r="146" spans="1:14" ht="15.95" customHeight="1">
      <c r="A146" s="17">
        <v>31</v>
      </c>
      <c r="B146" s="21" t="s">
        <v>53</v>
      </c>
      <c r="C146" s="17">
        <v>71</v>
      </c>
      <c r="D146" s="17">
        <v>39.892000000000003</v>
      </c>
      <c r="E146" t="s">
        <v>981</v>
      </c>
      <c r="G146" t="str">
        <f>CONCATENATE("[","http://atom.kaeri.re.kr/cgi-bin/nuclide?nuc=",B146,"-",C146," &lt;sub&gt;",C146,"&lt;/sub&gt;",B146,"]")</f>
        <v>[http://atom.kaeri.re.kr/cgi-bin/nuclide?nuc=Ga-71 &lt;sub&gt;71&lt;/sub&gt;Ga]</v>
      </c>
      <c r="H146" t="str">
        <f>CONCATENATE(D146," % || ",E146)</f>
        <v>39,892 % || stabil</v>
      </c>
      <c r="I146" t="str">
        <f>CONCATENATE(" | ",G146," || ",H146," || ",F146)</f>
        <v xml:space="preserve"> | [http://atom.kaeri.re.kr/cgi-bin/nuclide?nuc=Ga-71 &lt;sub&gt;71&lt;/sub&gt;Ga] || 39,892 % || stabil || </v>
      </c>
      <c r="N146" t="str">
        <f>CONCATENATE(I146,"&lt;br&gt;"," |-")</f>
        <v xml:space="preserve"> | [http://atom.kaeri.re.kr/cgi-bin/nuclide?nuc=Ga-71 &lt;sub&gt;71&lt;/sub&gt;Ga] || 39,892 % || stabil || &lt;br&gt; |-</v>
      </c>
    </row>
    <row r="147" spans="1:14" ht="15.95" customHeight="1">
      <c r="A147">
        <v>31</v>
      </c>
      <c r="B147" s="23" t="s">
        <v>53</v>
      </c>
      <c r="C147">
        <v>999</v>
      </c>
      <c r="D147" t="s">
        <v>54</v>
      </c>
      <c r="E147" t="s">
        <v>981</v>
      </c>
      <c r="N147" t="str">
        <f>CONCATENATE(" |}&lt;br&gt;* [http://atom.kaeri.re.kr/cgi-bin/nuclide?nuc=",B147," alle bekannten ",D147,"-Isotope]")</f>
        <v xml:space="preserve"> |}&lt;br&gt;* [http://atom.kaeri.re.kr/cgi-bin/nuclide?nuc=Ga alle bekannten Gallium-Isotope]</v>
      </c>
    </row>
    <row r="148" spans="1:14" ht="15.95" customHeight="1">
      <c r="A148">
        <v>32</v>
      </c>
      <c r="B148" s="23" t="s">
        <v>55</v>
      </c>
      <c r="C148" s="17">
        <v>0</v>
      </c>
      <c r="D148" t="s">
        <v>56</v>
      </c>
      <c r="E148" t="s">
        <v>981</v>
      </c>
      <c r="N148" t="str">
        <f>CONCATENATE("=== [[",D148,"]] ===&lt;br&gt;{| {{tabelle}}&lt;br&gt;! Isotop !! ",$D$1," !! [[",$E$1,"]] !! ",$F$1," &lt;br&gt; |-")</f>
        <v>=== [[Germanium]] ===&lt;br&gt;{| {{tabelle}}&lt;br&gt;! Isotop !! natürliche Häufigkeit !! [[Halbwertszeit]] !! Herkunft, techn. Bedeutung &lt;br&gt; |-</v>
      </c>
    </row>
    <row r="149" spans="1:14" ht="15.95" customHeight="1">
      <c r="A149" s="17">
        <v>32</v>
      </c>
      <c r="B149" s="21" t="s">
        <v>55</v>
      </c>
      <c r="C149" s="17">
        <v>70</v>
      </c>
      <c r="D149" s="17">
        <v>20.84</v>
      </c>
      <c r="E149" t="s">
        <v>981</v>
      </c>
      <c r="G149" t="str">
        <f>CONCATENATE("[","http://atom.kaeri.re.kr/cgi-bin/nuclide?nuc=",B149,"-",C149," &lt;sub&gt;",C149,"&lt;/sub&gt;",B149,"]")</f>
        <v>[http://atom.kaeri.re.kr/cgi-bin/nuclide?nuc=Ge-70 &lt;sub&gt;70&lt;/sub&gt;Ge]</v>
      </c>
      <c r="H149" t="str">
        <f>CONCATENATE(D149," % || ",E149)</f>
        <v>20,84 % || stabil</v>
      </c>
      <c r="I149" t="str">
        <f>CONCATENATE(" | ",G149," || ",H149," || ",F149)</f>
        <v xml:space="preserve"> | [http://atom.kaeri.re.kr/cgi-bin/nuclide?nuc=Ge-70 &lt;sub&gt;70&lt;/sub&gt;Ge] || 20,84 % || stabil || </v>
      </c>
      <c r="N149" t="str">
        <f>CONCATENATE(I149,"&lt;br&gt;"," |-")</f>
        <v xml:space="preserve"> | [http://atom.kaeri.re.kr/cgi-bin/nuclide?nuc=Ge-70 &lt;sub&gt;70&lt;/sub&gt;Ge] || 20,84 % || stabil || &lt;br&gt; |-</v>
      </c>
    </row>
    <row r="150" spans="1:14" ht="15.95" customHeight="1">
      <c r="A150" s="17">
        <v>32</v>
      </c>
      <c r="B150" s="21" t="s">
        <v>55</v>
      </c>
      <c r="C150" s="17">
        <v>72</v>
      </c>
      <c r="D150" s="17">
        <v>27.54</v>
      </c>
      <c r="E150" t="s">
        <v>981</v>
      </c>
      <c r="G150" t="str">
        <f>CONCATENATE("[","http://atom.kaeri.re.kr/cgi-bin/nuclide?nuc=",B150,"-",C150," &lt;sub&gt;",C150,"&lt;/sub&gt;",B150,"]")</f>
        <v>[http://atom.kaeri.re.kr/cgi-bin/nuclide?nuc=Ge-72 &lt;sub&gt;72&lt;/sub&gt;Ge]</v>
      </c>
      <c r="H150" t="str">
        <f>CONCATENATE(D150," % || ",E150)</f>
        <v>27,54 % || stabil</v>
      </c>
      <c r="I150" t="str">
        <f>CONCATENATE(" | ",G150," || ",H150," || ",F150)</f>
        <v xml:space="preserve"> | [http://atom.kaeri.re.kr/cgi-bin/nuclide?nuc=Ge-72 &lt;sub&gt;72&lt;/sub&gt;Ge] || 27,54 % || stabil || </v>
      </c>
      <c r="N150" t="str">
        <f>CONCATENATE(I150,"&lt;br&gt;"," |-")</f>
        <v xml:space="preserve"> | [http://atom.kaeri.re.kr/cgi-bin/nuclide?nuc=Ge-72 &lt;sub&gt;72&lt;/sub&gt;Ge] || 27,54 % || stabil || &lt;br&gt; |-</v>
      </c>
    </row>
    <row r="151" spans="1:14" ht="15.95" customHeight="1">
      <c r="A151" s="17">
        <v>32</v>
      </c>
      <c r="B151" s="21" t="s">
        <v>55</v>
      </c>
      <c r="C151" s="17">
        <v>73</v>
      </c>
      <c r="D151" s="17">
        <v>7.73</v>
      </c>
      <c r="E151" t="s">
        <v>981</v>
      </c>
      <c r="G151" t="str">
        <f>CONCATENATE("[","http://atom.kaeri.re.kr/cgi-bin/nuclide?nuc=",B151,"-",C151," &lt;sub&gt;",C151,"&lt;/sub&gt;",B151,"]")</f>
        <v>[http://atom.kaeri.re.kr/cgi-bin/nuclide?nuc=Ge-73 &lt;sub&gt;73&lt;/sub&gt;Ge]</v>
      </c>
      <c r="H151" t="str">
        <f>CONCATENATE(D151," % || ",E151)</f>
        <v>7,73 % || stabil</v>
      </c>
      <c r="I151" t="str">
        <f>CONCATENATE(" | ",G151," || ",H151," || ",F151)</f>
        <v xml:space="preserve"> | [http://atom.kaeri.re.kr/cgi-bin/nuclide?nuc=Ge-73 &lt;sub&gt;73&lt;/sub&gt;Ge] || 7,73 % || stabil || </v>
      </c>
      <c r="N151" t="str">
        <f>CONCATENATE(I151,"&lt;br&gt;"," |-")</f>
        <v xml:space="preserve"> | [http://atom.kaeri.re.kr/cgi-bin/nuclide?nuc=Ge-73 &lt;sub&gt;73&lt;/sub&gt;Ge] || 7,73 % || stabil || &lt;br&gt; |-</v>
      </c>
    </row>
    <row r="152" spans="1:14" ht="15.95" customHeight="1">
      <c r="A152" s="17">
        <v>32</v>
      </c>
      <c r="B152" s="21" t="s">
        <v>55</v>
      </c>
      <c r="C152" s="17">
        <v>74</v>
      </c>
      <c r="D152" s="17">
        <v>36.28</v>
      </c>
      <c r="E152" t="s">
        <v>981</v>
      </c>
      <c r="G152" t="str">
        <f>CONCATENATE("[","http://atom.kaeri.re.kr/cgi-bin/nuclide?nuc=",B152,"-",C152," &lt;sub&gt;",C152,"&lt;/sub&gt;",B152,"]")</f>
        <v>[http://atom.kaeri.re.kr/cgi-bin/nuclide?nuc=Ge-74 &lt;sub&gt;74&lt;/sub&gt;Ge]</v>
      </c>
      <c r="H152" t="str">
        <f>CONCATENATE(D152," % || ",E152)</f>
        <v>36,28 % || stabil</v>
      </c>
      <c r="I152" t="str">
        <f>CONCATENATE(" | ",G152," || ",H152," || ",F152)</f>
        <v xml:space="preserve"> | [http://atom.kaeri.re.kr/cgi-bin/nuclide?nuc=Ge-74 &lt;sub&gt;74&lt;/sub&gt;Ge] || 36,28 % || stabil || </v>
      </c>
      <c r="N152" t="str">
        <f>CONCATENATE(I152,"&lt;br&gt;"," |-")</f>
        <v xml:space="preserve"> | [http://atom.kaeri.re.kr/cgi-bin/nuclide?nuc=Ge-74 &lt;sub&gt;74&lt;/sub&gt;Ge] || 36,28 % || stabil || &lt;br&gt; |-</v>
      </c>
    </row>
    <row r="153" spans="1:14" ht="15.95" customHeight="1">
      <c r="A153" s="17">
        <v>32</v>
      </c>
      <c r="B153" s="21" t="s">
        <v>55</v>
      </c>
      <c r="C153" s="17">
        <v>76</v>
      </c>
      <c r="D153" s="17">
        <v>7.61</v>
      </c>
      <c r="E153" t="s">
        <v>981</v>
      </c>
      <c r="G153" t="str">
        <f>CONCATENATE("[","http://atom.kaeri.re.kr/cgi-bin/nuclide?nuc=",B153,"-",C153," &lt;sub&gt;",C153,"&lt;/sub&gt;",B153,"]")</f>
        <v>[http://atom.kaeri.re.kr/cgi-bin/nuclide?nuc=Ge-76 &lt;sub&gt;76&lt;/sub&gt;Ge]</v>
      </c>
      <c r="H153" t="str">
        <f>CONCATENATE(D153," % || ",E153)</f>
        <v>7,61 % || stabil</v>
      </c>
      <c r="I153" t="str">
        <f>CONCATENATE(" | ",G153," || ",H153," || ",F153)</f>
        <v xml:space="preserve"> | [http://atom.kaeri.re.kr/cgi-bin/nuclide?nuc=Ge-76 &lt;sub&gt;76&lt;/sub&gt;Ge] || 7,61 % || stabil || </v>
      </c>
      <c r="N153" t="str">
        <f>CONCATENATE(I153,"&lt;br&gt;"," |-")</f>
        <v xml:space="preserve"> | [http://atom.kaeri.re.kr/cgi-bin/nuclide?nuc=Ge-76 &lt;sub&gt;76&lt;/sub&gt;Ge] || 7,61 % || stabil || &lt;br&gt; |-</v>
      </c>
    </row>
    <row r="154" spans="1:14" ht="15.95" customHeight="1">
      <c r="A154">
        <v>32</v>
      </c>
      <c r="B154" s="23" t="s">
        <v>55</v>
      </c>
      <c r="C154">
        <v>999</v>
      </c>
      <c r="D154" t="s">
        <v>56</v>
      </c>
      <c r="E154" t="s">
        <v>981</v>
      </c>
      <c r="N154" t="str">
        <f>CONCATENATE(" |}&lt;br&gt;* [http://atom.kaeri.re.kr/cgi-bin/nuclide?nuc=",B154," alle bekannten ",D154,"-Isotope]")</f>
        <v xml:space="preserve"> |}&lt;br&gt;* [http://atom.kaeri.re.kr/cgi-bin/nuclide?nuc=Ge alle bekannten Germanium-Isotope]</v>
      </c>
    </row>
    <row r="155" spans="1:14" ht="15.95" customHeight="1">
      <c r="A155">
        <v>33</v>
      </c>
      <c r="B155" s="23" t="s">
        <v>58</v>
      </c>
      <c r="C155" s="17">
        <v>0</v>
      </c>
      <c r="D155" t="s">
        <v>59</v>
      </c>
      <c r="E155" t="s">
        <v>981</v>
      </c>
      <c r="N155" t="str">
        <f>CONCATENATE("=== [[",D155,"]] ===&lt;br&gt;{| {{tabelle}}&lt;br&gt;! Isotop !! ",$D$1," !! [[",$E$1,"]] !! ",$F$1," &lt;br&gt; |-")</f>
        <v>=== [[Arsen]] ===&lt;br&gt;{| {{tabelle}}&lt;br&gt;! Isotop !! natürliche Häufigkeit !! [[Halbwertszeit]] !! Herkunft, techn. Bedeutung &lt;br&gt; |-</v>
      </c>
    </row>
    <row r="156" spans="1:14" ht="15.95" customHeight="1">
      <c r="A156" s="17">
        <v>33</v>
      </c>
      <c r="B156" s="21" t="s">
        <v>58</v>
      </c>
      <c r="C156" s="17">
        <v>75</v>
      </c>
      <c r="D156" s="17">
        <v>100</v>
      </c>
      <c r="E156" t="s">
        <v>981</v>
      </c>
      <c r="G156" t="str">
        <f>CONCATENATE("[","http://atom.kaeri.re.kr/cgi-bin/nuclide?nuc=",B156,"-",C156," &lt;sub&gt;",C156,"&lt;/sub&gt;",B156,"]")</f>
        <v>[http://atom.kaeri.re.kr/cgi-bin/nuclide?nuc=As-75 &lt;sub&gt;75&lt;/sub&gt;As]</v>
      </c>
      <c r="H156" t="str">
        <f>CONCATENATE(D156," % || ",E156)</f>
        <v>100 % || stabil</v>
      </c>
      <c r="I156" t="str">
        <f>CONCATENATE(" | ",G156," || ",H156," || ",F156)</f>
        <v xml:space="preserve"> | [http://atom.kaeri.re.kr/cgi-bin/nuclide?nuc=As-75 &lt;sub&gt;75&lt;/sub&gt;As] || 100 % || stabil || </v>
      </c>
      <c r="N156" t="str">
        <f>CONCATENATE(I156,"&lt;br&gt;"," |-")</f>
        <v xml:space="preserve"> | [http://atom.kaeri.re.kr/cgi-bin/nuclide?nuc=As-75 &lt;sub&gt;75&lt;/sub&gt;As] || 100 % || stabil || &lt;br&gt; |-</v>
      </c>
    </row>
    <row r="157" spans="1:14" ht="15.95" customHeight="1">
      <c r="A157">
        <v>33</v>
      </c>
      <c r="B157" s="23" t="s">
        <v>58</v>
      </c>
      <c r="C157">
        <v>999</v>
      </c>
      <c r="D157" t="s">
        <v>59</v>
      </c>
      <c r="E157" t="s">
        <v>981</v>
      </c>
      <c r="N157" t="str">
        <f>CONCATENATE(" |}&lt;br&gt;* [http://atom.kaeri.re.kr/cgi-bin/nuclide?nuc=",B157," alle bekannten ",D157,"-Isotope]")</f>
        <v xml:space="preserve"> |}&lt;br&gt;* [http://atom.kaeri.re.kr/cgi-bin/nuclide?nuc=As alle bekannten Arsen-Isotope]</v>
      </c>
    </row>
    <row r="158" spans="1:14" ht="15.95" customHeight="1">
      <c r="A158">
        <v>34</v>
      </c>
      <c r="B158" s="23" t="s">
        <v>61</v>
      </c>
      <c r="C158" s="17">
        <v>0</v>
      </c>
      <c r="D158" t="s">
        <v>62</v>
      </c>
      <c r="E158" t="s">
        <v>981</v>
      </c>
      <c r="N158" t="str">
        <f>CONCATENATE("=== [[",D158,"]] ===&lt;br&gt;{| {{tabelle}}&lt;br&gt;! Isotop !! ",$D$1," !! [[",$E$1,"]] !! ",$F$1," &lt;br&gt; |-")</f>
        <v>=== [[Selen]] ===&lt;br&gt;{| {{tabelle}}&lt;br&gt;! Isotop !! natürliche Häufigkeit !! [[Halbwertszeit]] !! Herkunft, techn. Bedeutung &lt;br&gt; |-</v>
      </c>
    </row>
    <row r="159" spans="1:14" ht="15.95" customHeight="1">
      <c r="A159" s="17">
        <v>34</v>
      </c>
      <c r="B159" s="21" t="s">
        <v>61</v>
      </c>
      <c r="C159" s="17">
        <v>74</v>
      </c>
      <c r="D159" s="17">
        <v>0.89</v>
      </c>
      <c r="E159" t="s">
        <v>981</v>
      </c>
      <c r="G159" t="str">
        <f t="shared" ref="G159:G164" si="4">CONCATENATE("[","http://atom.kaeri.re.kr/cgi-bin/nuclide?nuc=",B159,"-",C159," &lt;sub&gt;",C159,"&lt;/sub&gt;",B159,"]")</f>
        <v>[http://atom.kaeri.re.kr/cgi-bin/nuclide?nuc=Se-74 &lt;sub&gt;74&lt;/sub&gt;Se]</v>
      </c>
      <c r="H159" t="str">
        <f t="shared" ref="H159:H164" si="5">CONCATENATE(D159," % || ",E159)</f>
        <v>0,89 % || stabil</v>
      </c>
      <c r="I159" t="str">
        <f t="shared" ref="I159:I164" si="6">CONCATENATE(" | ",G159," || ",H159," || ",F159)</f>
        <v xml:space="preserve"> | [http://atom.kaeri.re.kr/cgi-bin/nuclide?nuc=Se-74 &lt;sub&gt;74&lt;/sub&gt;Se] || 0,89 % || stabil || </v>
      </c>
      <c r="N159" t="str">
        <f t="shared" ref="N159:N164" si="7">CONCATENATE(I159,"&lt;br&gt;"," |-")</f>
        <v xml:space="preserve"> | [http://atom.kaeri.re.kr/cgi-bin/nuclide?nuc=Se-74 &lt;sub&gt;74&lt;/sub&gt;Se] || 0,89 % || stabil || &lt;br&gt; |-</v>
      </c>
    </row>
    <row r="160" spans="1:14" ht="15.95" customHeight="1">
      <c r="A160" s="17">
        <v>34</v>
      </c>
      <c r="B160" s="21" t="s">
        <v>61</v>
      </c>
      <c r="C160" s="17">
        <v>76</v>
      </c>
      <c r="D160" s="17">
        <v>9.3699999999999992</v>
      </c>
      <c r="E160" t="s">
        <v>981</v>
      </c>
      <c r="G160" t="str">
        <f t="shared" si="4"/>
        <v>[http://atom.kaeri.re.kr/cgi-bin/nuclide?nuc=Se-76 &lt;sub&gt;76&lt;/sub&gt;Se]</v>
      </c>
      <c r="H160" t="str">
        <f t="shared" si="5"/>
        <v>9,37 % || stabil</v>
      </c>
      <c r="I160" t="str">
        <f t="shared" si="6"/>
        <v xml:space="preserve"> | [http://atom.kaeri.re.kr/cgi-bin/nuclide?nuc=Se-76 &lt;sub&gt;76&lt;/sub&gt;Se] || 9,37 % || stabil || </v>
      </c>
      <c r="N160" t="str">
        <f t="shared" si="7"/>
        <v xml:space="preserve"> | [http://atom.kaeri.re.kr/cgi-bin/nuclide?nuc=Se-76 &lt;sub&gt;76&lt;/sub&gt;Se] || 9,37 % || stabil || &lt;br&gt; |-</v>
      </c>
    </row>
    <row r="161" spans="1:14" ht="15.95" customHeight="1">
      <c r="A161" s="17">
        <v>34</v>
      </c>
      <c r="B161" s="21" t="s">
        <v>61</v>
      </c>
      <c r="C161" s="17">
        <v>77</v>
      </c>
      <c r="D161" s="17">
        <v>7.63</v>
      </c>
      <c r="E161" t="s">
        <v>981</v>
      </c>
      <c r="G161" t="str">
        <f t="shared" si="4"/>
        <v>[http://atom.kaeri.re.kr/cgi-bin/nuclide?nuc=Se-77 &lt;sub&gt;77&lt;/sub&gt;Se]</v>
      </c>
      <c r="H161" t="str">
        <f t="shared" si="5"/>
        <v>7,63 % || stabil</v>
      </c>
      <c r="I161" t="str">
        <f t="shared" si="6"/>
        <v xml:space="preserve"> | [http://atom.kaeri.re.kr/cgi-bin/nuclide?nuc=Se-77 &lt;sub&gt;77&lt;/sub&gt;Se] || 7,63 % || stabil || </v>
      </c>
      <c r="N161" t="str">
        <f t="shared" si="7"/>
        <v xml:space="preserve"> | [http://atom.kaeri.re.kr/cgi-bin/nuclide?nuc=Se-77 &lt;sub&gt;77&lt;/sub&gt;Se] || 7,63 % || stabil || &lt;br&gt; |-</v>
      </c>
    </row>
    <row r="162" spans="1:14" ht="15.95" customHeight="1">
      <c r="A162" s="17">
        <v>34</v>
      </c>
      <c r="B162" s="21" t="s">
        <v>61</v>
      </c>
      <c r="C162" s="17">
        <v>78</v>
      </c>
      <c r="D162" s="17">
        <v>23.77</v>
      </c>
      <c r="E162" t="s">
        <v>981</v>
      </c>
      <c r="G162" t="str">
        <f t="shared" si="4"/>
        <v>[http://atom.kaeri.re.kr/cgi-bin/nuclide?nuc=Se-78 &lt;sub&gt;78&lt;/sub&gt;Se]</v>
      </c>
      <c r="H162" t="str">
        <f t="shared" si="5"/>
        <v>23,77 % || stabil</v>
      </c>
      <c r="I162" t="str">
        <f t="shared" si="6"/>
        <v xml:space="preserve"> | [http://atom.kaeri.re.kr/cgi-bin/nuclide?nuc=Se-78 &lt;sub&gt;78&lt;/sub&gt;Se] || 23,77 % || stabil || </v>
      </c>
      <c r="N162" t="str">
        <f t="shared" si="7"/>
        <v xml:space="preserve"> | [http://atom.kaeri.re.kr/cgi-bin/nuclide?nuc=Se-78 &lt;sub&gt;78&lt;/sub&gt;Se] || 23,77 % || stabil || &lt;br&gt; |-</v>
      </c>
    </row>
    <row r="163" spans="1:14" ht="15.95" customHeight="1">
      <c r="A163" s="17">
        <v>34</v>
      </c>
      <c r="B163" s="21" t="s">
        <v>61</v>
      </c>
      <c r="C163" s="17">
        <v>80</v>
      </c>
      <c r="D163" s="17">
        <v>49.61</v>
      </c>
      <c r="E163" t="s">
        <v>981</v>
      </c>
      <c r="G163" t="str">
        <f t="shared" si="4"/>
        <v>[http://atom.kaeri.re.kr/cgi-bin/nuclide?nuc=Se-80 &lt;sub&gt;80&lt;/sub&gt;Se]</v>
      </c>
      <c r="H163" t="str">
        <f t="shared" si="5"/>
        <v>49,61 % || stabil</v>
      </c>
      <c r="I163" t="str">
        <f t="shared" si="6"/>
        <v xml:space="preserve"> | [http://atom.kaeri.re.kr/cgi-bin/nuclide?nuc=Se-80 &lt;sub&gt;80&lt;/sub&gt;Se] || 49,61 % || stabil || </v>
      </c>
      <c r="N163" t="str">
        <f t="shared" si="7"/>
        <v xml:space="preserve"> | [http://atom.kaeri.re.kr/cgi-bin/nuclide?nuc=Se-80 &lt;sub&gt;80&lt;/sub&gt;Se] || 49,61 % || stabil || &lt;br&gt; |-</v>
      </c>
    </row>
    <row r="164" spans="1:14" ht="15.95" customHeight="1">
      <c r="A164" s="17">
        <v>34</v>
      </c>
      <c r="B164" s="21" t="s">
        <v>61</v>
      </c>
      <c r="C164" s="17">
        <v>82</v>
      </c>
      <c r="D164" s="17">
        <v>8.73</v>
      </c>
      <c r="E164" t="s">
        <v>981</v>
      </c>
      <c r="G164" t="str">
        <f t="shared" si="4"/>
        <v>[http://atom.kaeri.re.kr/cgi-bin/nuclide?nuc=Se-82 &lt;sub&gt;82&lt;/sub&gt;Se]</v>
      </c>
      <c r="H164" t="str">
        <f t="shared" si="5"/>
        <v>8,73 % || stabil</v>
      </c>
      <c r="I164" t="str">
        <f t="shared" si="6"/>
        <v xml:space="preserve"> | [http://atom.kaeri.re.kr/cgi-bin/nuclide?nuc=Se-82 &lt;sub&gt;82&lt;/sub&gt;Se] || 8,73 % || stabil || </v>
      </c>
      <c r="N164" t="str">
        <f t="shared" si="7"/>
        <v xml:space="preserve"> | [http://atom.kaeri.re.kr/cgi-bin/nuclide?nuc=Se-82 &lt;sub&gt;82&lt;/sub&gt;Se] || 8,73 % || stabil || &lt;br&gt; |-</v>
      </c>
    </row>
    <row r="165" spans="1:14" ht="15.95" customHeight="1">
      <c r="A165">
        <v>34</v>
      </c>
      <c r="B165" s="23" t="s">
        <v>61</v>
      </c>
      <c r="C165">
        <v>999</v>
      </c>
      <c r="D165" t="s">
        <v>62</v>
      </c>
      <c r="E165" t="s">
        <v>981</v>
      </c>
      <c r="N165" t="str">
        <f>CONCATENATE(" |}&lt;br&gt;* [http://atom.kaeri.re.kr/cgi-bin/nuclide?nuc=",B165," alle bekannten ",D165,"-Isotope]")</f>
        <v xml:space="preserve"> |}&lt;br&gt;* [http://atom.kaeri.re.kr/cgi-bin/nuclide?nuc=Se alle bekannten Selen-Isotope]</v>
      </c>
    </row>
    <row r="166" spans="1:14" ht="15.95" customHeight="1">
      <c r="A166">
        <v>35</v>
      </c>
      <c r="B166" s="23" t="s">
        <v>64</v>
      </c>
      <c r="C166" s="17">
        <v>0</v>
      </c>
      <c r="D166" t="s">
        <v>65</v>
      </c>
      <c r="E166" t="s">
        <v>981</v>
      </c>
      <c r="N166" t="str">
        <f>CONCATENATE("=== [[",D166,"]] ===&lt;br&gt;{| {{tabelle}}&lt;br&gt;! Isotop !! ",$D$1," !! [[",$E$1,"]] !! ",$F$1," &lt;br&gt; |-")</f>
        <v>=== [[Brom]] ===&lt;br&gt;{| {{tabelle}}&lt;br&gt;! Isotop !! natürliche Häufigkeit !! [[Halbwertszeit]] !! Herkunft, techn. Bedeutung &lt;br&gt; |-</v>
      </c>
    </row>
    <row r="167" spans="1:14" ht="15.95" customHeight="1">
      <c r="A167" s="17">
        <v>35</v>
      </c>
      <c r="B167" s="21" t="s">
        <v>64</v>
      </c>
      <c r="C167" s="17">
        <v>79</v>
      </c>
      <c r="D167" s="17">
        <v>50.69</v>
      </c>
      <c r="E167" t="s">
        <v>981</v>
      </c>
      <c r="G167" t="str">
        <f>CONCATENATE("[","http://atom.kaeri.re.kr/cgi-bin/nuclide?nuc=",B167,"-",C167," &lt;sub&gt;",C167,"&lt;/sub&gt;",B167,"]")</f>
        <v>[http://atom.kaeri.re.kr/cgi-bin/nuclide?nuc=Br-79 &lt;sub&gt;79&lt;/sub&gt;Br]</v>
      </c>
      <c r="H167" t="str">
        <f>CONCATENATE(D167," % || ",E167)</f>
        <v>50,69 % || stabil</v>
      </c>
      <c r="I167" t="str">
        <f>CONCATENATE(" | ",G167," || ",H167," || ",F167)</f>
        <v xml:space="preserve"> | [http://atom.kaeri.re.kr/cgi-bin/nuclide?nuc=Br-79 &lt;sub&gt;79&lt;/sub&gt;Br] || 50,69 % || stabil || </v>
      </c>
      <c r="N167" t="str">
        <f>CONCATENATE(I167,"&lt;br&gt;"," |-")</f>
        <v xml:space="preserve"> | [http://atom.kaeri.re.kr/cgi-bin/nuclide?nuc=Br-79 &lt;sub&gt;79&lt;/sub&gt;Br] || 50,69 % || stabil || &lt;br&gt; |-</v>
      </c>
    </row>
    <row r="168" spans="1:14" ht="15.95" customHeight="1">
      <c r="A168" s="17">
        <v>35</v>
      </c>
      <c r="B168" s="21" t="s">
        <v>64</v>
      </c>
      <c r="C168" s="17">
        <v>81</v>
      </c>
      <c r="D168" s="17">
        <v>49.31</v>
      </c>
      <c r="E168" t="s">
        <v>981</v>
      </c>
      <c r="G168" t="str">
        <f>CONCATENATE("[","http://atom.kaeri.re.kr/cgi-bin/nuclide?nuc=",B168,"-",C168," &lt;sub&gt;",C168,"&lt;/sub&gt;",B168,"]")</f>
        <v>[http://atom.kaeri.re.kr/cgi-bin/nuclide?nuc=Br-81 &lt;sub&gt;81&lt;/sub&gt;Br]</v>
      </c>
      <c r="H168" t="str">
        <f>CONCATENATE(D168," % || ",E168)</f>
        <v>49,31 % || stabil</v>
      </c>
      <c r="I168" t="str">
        <f>CONCATENATE(" | ",G168," || ",H168," || ",F168)</f>
        <v xml:space="preserve"> | [http://atom.kaeri.re.kr/cgi-bin/nuclide?nuc=Br-81 &lt;sub&gt;81&lt;/sub&gt;Br] || 49,31 % || stabil || </v>
      </c>
      <c r="N168" t="str">
        <f>CONCATENATE(I168,"&lt;br&gt;"," |-")</f>
        <v xml:space="preserve"> | [http://atom.kaeri.re.kr/cgi-bin/nuclide?nuc=Br-81 &lt;sub&gt;81&lt;/sub&gt;Br] || 49,31 % || stabil || &lt;br&gt; |-</v>
      </c>
    </row>
    <row r="169" spans="1:14" ht="15.95" customHeight="1">
      <c r="A169">
        <v>35</v>
      </c>
      <c r="B169" s="23" t="s">
        <v>64</v>
      </c>
      <c r="C169">
        <v>999</v>
      </c>
      <c r="D169" t="s">
        <v>65</v>
      </c>
      <c r="E169" t="s">
        <v>981</v>
      </c>
      <c r="N169" t="str">
        <f>CONCATENATE(" |}&lt;br&gt;* [http://atom.kaeri.re.kr/cgi-bin/nuclide?nuc=",B169," alle bekannten ",D169,"-Isotope]")</f>
        <v xml:space="preserve"> |}&lt;br&gt;* [http://atom.kaeri.re.kr/cgi-bin/nuclide?nuc=Br alle bekannten Brom-Isotope]</v>
      </c>
    </row>
    <row r="170" spans="1:14" ht="15.95" customHeight="1">
      <c r="A170">
        <v>36</v>
      </c>
      <c r="B170" s="23" t="s">
        <v>67</v>
      </c>
      <c r="C170" s="17">
        <v>0</v>
      </c>
      <c r="D170" t="s">
        <v>68</v>
      </c>
      <c r="E170" t="s">
        <v>981</v>
      </c>
      <c r="N170" t="str">
        <f>CONCATENATE("=== [[",D170,"]] ===&lt;br&gt;{| {{tabelle}}&lt;br&gt;! Isotop !! ",$D$1," !! [[",$E$1,"]] !! ",$F$1," &lt;br&gt; |-")</f>
        <v>=== [[Krypton]] ===&lt;br&gt;{| {{tabelle}}&lt;br&gt;! Isotop !! natürliche Häufigkeit !! [[Halbwertszeit]] !! Herkunft, techn. Bedeutung &lt;br&gt; |-</v>
      </c>
    </row>
    <row r="171" spans="1:14" ht="15.95" customHeight="1">
      <c r="A171" s="17">
        <v>36</v>
      </c>
      <c r="B171" s="21" t="s">
        <v>67</v>
      </c>
      <c r="C171" s="17">
        <v>78</v>
      </c>
      <c r="D171" s="17">
        <v>0.35</v>
      </c>
      <c r="E171" t="s">
        <v>981</v>
      </c>
      <c r="G171" t="str">
        <f t="shared" ref="G171:G176" si="8">CONCATENATE("[","http://atom.kaeri.re.kr/cgi-bin/nuclide?nuc=",B171,"-",C171," &lt;sub&gt;",C171,"&lt;/sub&gt;",B171,"]")</f>
        <v>[http://atom.kaeri.re.kr/cgi-bin/nuclide?nuc=Kr-78 &lt;sub&gt;78&lt;/sub&gt;Kr]</v>
      </c>
      <c r="H171" t="str">
        <f t="shared" ref="H171:H176" si="9">CONCATENATE(D171," % || ",E171)</f>
        <v>0,35 % || stabil</v>
      </c>
      <c r="I171" t="str">
        <f t="shared" ref="I171:I176" si="10">CONCATENATE(" | ",G171," || ",H171," || ",F171)</f>
        <v xml:space="preserve"> | [http://atom.kaeri.re.kr/cgi-bin/nuclide?nuc=Kr-78 &lt;sub&gt;78&lt;/sub&gt;Kr] || 0,35 % || stabil || </v>
      </c>
      <c r="N171" t="str">
        <f t="shared" ref="N171:N176" si="11">CONCATENATE(I171,"&lt;br&gt;"," |-")</f>
        <v xml:space="preserve"> | [http://atom.kaeri.re.kr/cgi-bin/nuclide?nuc=Kr-78 &lt;sub&gt;78&lt;/sub&gt;Kr] || 0,35 % || stabil || &lt;br&gt; |-</v>
      </c>
    </row>
    <row r="172" spans="1:14" ht="15.95" customHeight="1">
      <c r="A172" s="17">
        <v>36</v>
      </c>
      <c r="B172" s="21" t="s">
        <v>67</v>
      </c>
      <c r="C172" s="17">
        <v>80</v>
      </c>
      <c r="D172" s="17">
        <v>2.2799999999999998</v>
      </c>
      <c r="E172" t="s">
        <v>981</v>
      </c>
      <c r="G172" t="str">
        <f t="shared" si="8"/>
        <v>[http://atom.kaeri.re.kr/cgi-bin/nuclide?nuc=Kr-80 &lt;sub&gt;80&lt;/sub&gt;Kr]</v>
      </c>
      <c r="H172" t="str">
        <f t="shared" si="9"/>
        <v>2,28 % || stabil</v>
      </c>
      <c r="I172" t="str">
        <f t="shared" si="10"/>
        <v xml:space="preserve"> | [http://atom.kaeri.re.kr/cgi-bin/nuclide?nuc=Kr-80 &lt;sub&gt;80&lt;/sub&gt;Kr] || 2,28 % || stabil || </v>
      </c>
      <c r="N172" t="str">
        <f t="shared" si="11"/>
        <v xml:space="preserve"> | [http://atom.kaeri.re.kr/cgi-bin/nuclide?nuc=Kr-80 &lt;sub&gt;80&lt;/sub&gt;Kr] || 2,28 % || stabil || &lt;br&gt; |-</v>
      </c>
    </row>
    <row r="173" spans="1:14" ht="15.95" customHeight="1">
      <c r="A173" s="17">
        <v>36</v>
      </c>
      <c r="B173" s="21" t="s">
        <v>67</v>
      </c>
      <c r="C173" s="17">
        <v>82</v>
      </c>
      <c r="D173" s="17">
        <v>11.58</v>
      </c>
      <c r="E173" t="s">
        <v>981</v>
      </c>
      <c r="G173" t="str">
        <f t="shared" si="8"/>
        <v>[http://atom.kaeri.re.kr/cgi-bin/nuclide?nuc=Kr-82 &lt;sub&gt;82&lt;/sub&gt;Kr]</v>
      </c>
      <c r="H173" t="str">
        <f t="shared" si="9"/>
        <v>11,58 % || stabil</v>
      </c>
      <c r="I173" t="str">
        <f t="shared" si="10"/>
        <v xml:space="preserve"> | [http://atom.kaeri.re.kr/cgi-bin/nuclide?nuc=Kr-82 &lt;sub&gt;82&lt;/sub&gt;Kr] || 11,58 % || stabil || </v>
      </c>
      <c r="N173" t="str">
        <f t="shared" si="11"/>
        <v xml:space="preserve"> | [http://atom.kaeri.re.kr/cgi-bin/nuclide?nuc=Kr-82 &lt;sub&gt;82&lt;/sub&gt;Kr] || 11,58 % || stabil || &lt;br&gt; |-</v>
      </c>
    </row>
    <row r="174" spans="1:14" ht="15.95" customHeight="1">
      <c r="A174" s="17">
        <v>36</v>
      </c>
      <c r="B174" s="21" t="s">
        <v>67</v>
      </c>
      <c r="C174" s="17">
        <v>83</v>
      </c>
      <c r="D174" s="17">
        <v>11.49</v>
      </c>
      <c r="E174" t="s">
        <v>981</v>
      </c>
      <c r="G174" t="str">
        <f t="shared" si="8"/>
        <v>[http://atom.kaeri.re.kr/cgi-bin/nuclide?nuc=Kr-83 &lt;sub&gt;83&lt;/sub&gt;Kr]</v>
      </c>
      <c r="H174" t="str">
        <f t="shared" si="9"/>
        <v>11,49 % || stabil</v>
      </c>
      <c r="I174" t="str">
        <f t="shared" si="10"/>
        <v xml:space="preserve"> | [http://atom.kaeri.re.kr/cgi-bin/nuclide?nuc=Kr-83 &lt;sub&gt;83&lt;/sub&gt;Kr] || 11,49 % || stabil || </v>
      </c>
      <c r="N174" t="str">
        <f t="shared" si="11"/>
        <v xml:space="preserve"> | [http://atom.kaeri.re.kr/cgi-bin/nuclide?nuc=Kr-83 &lt;sub&gt;83&lt;/sub&gt;Kr] || 11,49 % || stabil || &lt;br&gt; |-</v>
      </c>
    </row>
    <row r="175" spans="1:14" ht="15.95" customHeight="1">
      <c r="A175" s="17">
        <v>36</v>
      </c>
      <c r="B175" s="21" t="s">
        <v>67</v>
      </c>
      <c r="C175" s="17">
        <v>84</v>
      </c>
      <c r="D175" s="17">
        <v>57</v>
      </c>
      <c r="E175" t="s">
        <v>981</v>
      </c>
      <c r="G175" t="str">
        <f t="shared" si="8"/>
        <v>[http://atom.kaeri.re.kr/cgi-bin/nuclide?nuc=Kr-84 &lt;sub&gt;84&lt;/sub&gt;Kr]</v>
      </c>
      <c r="H175" t="str">
        <f t="shared" si="9"/>
        <v>57 % || stabil</v>
      </c>
      <c r="I175" t="str">
        <f t="shared" si="10"/>
        <v xml:space="preserve"> | [http://atom.kaeri.re.kr/cgi-bin/nuclide?nuc=Kr-84 &lt;sub&gt;84&lt;/sub&gt;Kr] || 57 % || stabil || </v>
      </c>
      <c r="N175" t="str">
        <f t="shared" si="11"/>
        <v xml:space="preserve"> | [http://atom.kaeri.re.kr/cgi-bin/nuclide?nuc=Kr-84 &lt;sub&gt;84&lt;/sub&gt;Kr] || 57 % || stabil || &lt;br&gt; |-</v>
      </c>
    </row>
    <row r="176" spans="1:14" ht="15.95" customHeight="1">
      <c r="A176" s="17">
        <v>36</v>
      </c>
      <c r="B176" s="21" t="s">
        <v>67</v>
      </c>
      <c r="C176" s="17">
        <v>86</v>
      </c>
      <c r="D176" s="17">
        <v>17.3</v>
      </c>
      <c r="E176" t="s">
        <v>981</v>
      </c>
      <c r="G176" t="str">
        <f t="shared" si="8"/>
        <v>[http://atom.kaeri.re.kr/cgi-bin/nuclide?nuc=Kr-86 &lt;sub&gt;86&lt;/sub&gt;Kr]</v>
      </c>
      <c r="H176" t="str">
        <f t="shared" si="9"/>
        <v>17,3 % || stabil</v>
      </c>
      <c r="I176" t="str">
        <f t="shared" si="10"/>
        <v xml:space="preserve"> | [http://atom.kaeri.re.kr/cgi-bin/nuclide?nuc=Kr-86 &lt;sub&gt;86&lt;/sub&gt;Kr] || 17,3 % || stabil || </v>
      </c>
      <c r="N176" t="str">
        <f t="shared" si="11"/>
        <v xml:space="preserve"> | [http://atom.kaeri.re.kr/cgi-bin/nuclide?nuc=Kr-86 &lt;sub&gt;86&lt;/sub&gt;Kr] || 17,3 % || stabil || &lt;br&gt; |-</v>
      </c>
    </row>
    <row r="177" spans="1:14" ht="15.95" customHeight="1">
      <c r="A177">
        <v>36</v>
      </c>
      <c r="B177" s="23" t="s">
        <v>67</v>
      </c>
      <c r="C177">
        <v>999</v>
      </c>
      <c r="D177" t="s">
        <v>68</v>
      </c>
      <c r="E177" t="s">
        <v>981</v>
      </c>
      <c r="N177" t="str">
        <f>CONCATENATE(" |}&lt;br&gt;* [http://atom.kaeri.re.kr/cgi-bin/nuclide?nuc=",B177," alle bekannten ",D177,"-Isotope]")</f>
        <v xml:space="preserve"> |}&lt;br&gt;* [http://atom.kaeri.re.kr/cgi-bin/nuclide?nuc=Kr alle bekannten Krypton-Isotope]</v>
      </c>
    </row>
    <row r="178" spans="1:14" ht="15.95" customHeight="1">
      <c r="A178">
        <v>37</v>
      </c>
      <c r="B178" s="23" t="s">
        <v>69</v>
      </c>
      <c r="C178" s="17">
        <v>0</v>
      </c>
      <c r="D178" t="s">
        <v>70</v>
      </c>
      <c r="E178" t="s">
        <v>981</v>
      </c>
      <c r="N178" t="str">
        <f>CONCATENATE("=== [[",D178,"]] ===&lt;br&gt;{| {{tabelle}}&lt;br&gt;! Isotop !! ",$D$1," !! [[",$E$1,"]] !! ",$F$1," &lt;br&gt; |-")</f>
        <v>=== [[Rubidium]] ===&lt;br&gt;{| {{tabelle}}&lt;br&gt;! Isotop !! natürliche Häufigkeit !! [[Halbwertszeit]] !! Herkunft, techn. Bedeutung &lt;br&gt; |-</v>
      </c>
    </row>
    <row r="179" spans="1:14" ht="15.95" customHeight="1">
      <c r="A179" s="17">
        <v>37</v>
      </c>
      <c r="B179" s="21" t="s">
        <v>69</v>
      </c>
      <c r="C179" s="17">
        <v>85</v>
      </c>
      <c r="D179" s="17">
        <v>72.17</v>
      </c>
      <c r="E179" t="s">
        <v>981</v>
      </c>
      <c r="G179" t="str">
        <f>CONCATENATE("[","http://atom.kaeri.re.kr/cgi-bin/nuclide?nuc=",B179,"-",C179," &lt;sub&gt;",C179,"&lt;/sub&gt;",B179,"]")</f>
        <v>[http://atom.kaeri.re.kr/cgi-bin/nuclide?nuc=Rb-85 &lt;sub&gt;85&lt;/sub&gt;Rb]</v>
      </c>
      <c r="H179" t="str">
        <f>CONCATENATE(D179," % || ",E179)</f>
        <v>72,17 % || stabil</v>
      </c>
      <c r="I179" t="str">
        <f>CONCATENATE(" | ",G179," || ",H179," || ",F179)</f>
        <v xml:space="preserve"> | [http://atom.kaeri.re.kr/cgi-bin/nuclide?nuc=Rb-85 &lt;sub&gt;85&lt;/sub&gt;Rb] || 72,17 % || stabil || </v>
      </c>
      <c r="N179" t="str">
        <f>CONCATENATE(I179,"&lt;br&gt;"," |-")</f>
        <v xml:space="preserve"> | [http://atom.kaeri.re.kr/cgi-bin/nuclide?nuc=Rb-85 &lt;sub&gt;85&lt;/sub&gt;Rb] || 72,17 % || stabil || &lt;br&gt; |-</v>
      </c>
    </row>
    <row r="180" spans="1:14" ht="15.95" customHeight="1">
      <c r="A180" s="17">
        <v>37</v>
      </c>
      <c r="B180" s="21" t="s">
        <v>69</v>
      </c>
      <c r="C180" s="17">
        <v>87</v>
      </c>
      <c r="D180" s="17">
        <v>27.83</v>
      </c>
      <c r="E180" t="s">
        <v>981</v>
      </c>
      <c r="G180" t="str">
        <f>CONCATENATE("[","http://atom.kaeri.re.kr/cgi-bin/nuclide?nuc=",B180,"-",C180," &lt;sub&gt;",C180,"&lt;/sub&gt;",B180,"]")</f>
        <v>[http://atom.kaeri.re.kr/cgi-bin/nuclide?nuc=Rb-87 &lt;sub&gt;87&lt;/sub&gt;Rb]</v>
      </c>
      <c r="H180" t="str">
        <f>CONCATENATE(D180," % || ",E180)</f>
        <v>27,83 % || stabil</v>
      </c>
      <c r="I180" t="str">
        <f>CONCATENATE(" | ",G180," || ",H180," || ",F180)</f>
        <v xml:space="preserve"> | [http://atom.kaeri.re.kr/cgi-bin/nuclide?nuc=Rb-87 &lt;sub&gt;87&lt;/sub&gt;Rb] || 27,83 % || stabil || </v>
      </c>
      <c r="N180" t="str">
        <f>CONCATENATE(I180,"&lt;br&gt;"," |-")</f>
        <v xml:space="preserve"> | [http://atom.kaeri.re.kr/cgi-bin/nuclide?nuc=Rb-87 &lt;sub&gt;87&lt;/sub&gt;Rb] || 27,83 % || stabil || &lt;br&gt; |-</v>
      </c>
    </row>
    <row r="181" spans="1:14" ht="15.95" customHeight="1">
      <c r="A181">
        <v>37</v>
      </c>
      <c r="B181" s="23" t="s">
        <v>69</v>
      </c>
      <c r="C181">
        <v>999</v>
      </c>
      <c r="D181" t="s">
        <v>70</v>
      </c>
      <c r="E181" t="s">
        <v>981</v>
      </c>
      <c r="N181" t="str">
        <f>CONCATENATE(" |}&lt;br&gt;* [http://atom.kaeri.re.kr/cgi-bin/nuclide?nuc=",B181," alle bekannten ",D181,"-Isotope]")</f>
        <v xml:space="preserve"> |}&lt;br&gt;* [http://atom.kaeri.re.kr/cgi-bin/nuclide?nuc=Rb alle bekannten Rubidium-Isotope]</v>
      </c>
    </row>
    <row r="182" spans="1:14" ht="15.95" customHeight="1">
      <c r="A182">
        <v>38</v>
      </c>
      <c r="B182" s="23" t="s">
        <v>72</v>
      </c>
      <c r="C182" s="17">
        <v>0</v>
      </c>
      <c r="D182" t="s">
        <v>73</v>
      </c>
      <c r="E182" t="s">
        <v>981</v>
      </c>
      <c r="N182" t="str">
        <f>CONCATENATE("=== [[",D182,"]] ===&lt;br&gt;{| {{tabelle}}&lt;br&gt;! Isotop !! ",$D$1," !! [[",$E$1,"]] !! ",$F$1," &lt;br&gt; |-")</f>
        <v>=== [[Strontium]] ===&lt;br&gt;{| {{tabelle}}&lt;br&gt;! Isotop !! natürliche Häufigkeit !! [[Halbwertszeit]] !! Herkunft, techn. Bedeutung &lt;br&gt; |-</v>
      </c>
    </row>
    <row r="183" spans="1:14" ht="15.95" customHeight="1">
      <c r="A183" s="17">
        <v>38</v>
      </c>
      <c r="B183" s="21" t="s">
        <v>72</v>
      </c>
      <c r="C183" s="17">
        <v>84</v>
      </c>
      <c r="D183" s="17">
        <v>0.56000000000000005</v>
      </c>
      <c r="E183" t="s">
        <v>981</v>
      </c>
      <c r="G183" t="str">
        <f>CONCATENATE("[","http://atom.kaeri.re.kr/cgi-bin/nuclide?nuc=",B183,"-",C183," &lt;sub&gt;",C183,"&lt;/sub&gt;",B183,"]")</f>
        <v>[http://atom.kaeri.re.kr/cgi-bin/nuclide?nuc=Sr-84 &lt;sub&gt;84&lt;/sub&gt;Sr]</v>
      </c>
      <c r="H183" t="str">
        <f>CONCATENATE(D183," % || ",E183)</f>
        <v>0,56 % || stabil</v>
      </c>
      <c r="I183" t="str">
        <f>CONCATENATE(" | ",G183," || ",H183," || ",F183)</f>
        <v xml:space="preserve"> | [http://atom.kaeri.re.kr/cgi-bin/nuclide?nuc=Sr-84 &lt;sub&gt;84&lt;/sub&gt;Sr] || 0,56 % || stabil || </v>
      </c>
      <c r="N183" t="str">
        <f>CONCATENATE(I183,"&lt;br&gt;"," |-")</f>
        <v xml:space="preserve"> | [http://atom.kaeri.re.kr/cgi-bin/nuclide?nuc=Sr-84 &lt;sub&gt;84&lt;/sub&gt;Sr] || 0,56 % || stabil || &lt;br&gt; |-</v>
      </c>
    </row>
    <row r="184" spans="1:14" ht="15.95" customHeight="1">
      <c r="A184" s="17">
        <v>38</v>
      </c>
      <c r="B184" s="21" t="s">
        <v>72</v>
      </c>
      <c r="C184" s="17">
        <v>86</v>
      </c>
      <c r="D184" s="17">
        <v>9.86</v>
      </c>
      <c r="E184" t="s">
        <v>981</v>
      </c>
      <c r="G184" t="str">
        <f>CONCATENATE("[","http://atom.kaeri.re.kr/cgi-bin/nuclide?nuc=",B184,"-",C184," &lt;sub&gt;",C184,"&lt;/sub&gt;",B184,"]")</f>
        <v>[http://atom.kaeri.re.kr/cgi-bin/nuclide?nuc=Sr-86 &lt;sub&gt;86&lt;/sub&gt;Sr]</v>
      </c>
      <c r="H184" t="str">
        <f>CONCATENATE(D184," % || ",E184)</f>
        <v>9,86 % || stabil</v>
      </c>
      <c r="I184" t="str">
        <f>CONCATENATE(" | ",G184," || ",H184," || ",F184)</f>
        <v xml:space="preserve"> | [http://atom.kaeri.re.kr/cgi-bin/nuclide?nuc=Sr-86 &lt;sub&gt;86&lt;/sub&gt;Sr] || 9,86 % || stabil || </v>
      </c>
      <c r="N184" t="str">
        <f>CONCATENATE(I184,"&lt;br&gt;"," |-")</f>
        <v xml:space="preserve"> | [http://atom.kaeri.re.kr/cgi-bin/nuclide?nuc=Sr-86 &lt;sub&gt;86&lt;/sub&gt;Sr] || 9,86 % || stabil || &lt;br&gt; |-</v>
      </c>
    </row>
    <row r="185" spans="1:14" ht="15.95" customHeight="1">
      <c r="A185" s="17">
        <v>38</v>
      </c>
      <c r="B185" s="21" t="s">
        <v>72</v>
      </c>
      <c r="C185" s="17">
        <v>87</v>
      </c>
      <c r="D185" s="17">
        <v>7</v>
      </c>
      <c r="E185" t="s">
        <v>981</v>
      </c>
      <c r="G185" t="str">
        <f>CONCATENATE("[","http://atom.kaeri.re.kr/cgi-bin/nuclide?nuc=",B185,"-",C185," &lt;sub&gt;",C185,"&lt;/sub&gt;",B185,"]")</f>
        <v>[http://atom.kaeri.re.kr/cgi-bin/nuclide?nuc=Sr-87 &lt;sub&gt;87&lt;/sub&gt;Sr]</v>
      </c>
      <c r="H185" t="str">
        <f>CONCATENATE(D185," % || ",E185)</f>
        <v>7 % || stabil</v>
      </c>
      <c r="I185" t="str">
        <f>CONCATENATE(" | ",G185," || ",H185," || ",F185)</f>
        <v xml:space="preserve"> | [http://atom.kaeri.re.kr/cgi-bin/nuclide?nuc=Sr-87 &lt;sub&gt;87&lt;/sub&gt;Sr] || 7 % || stabil || </v>
      </c>
      <c r="N185" t="str">
        <f>CONCATENATE(I185,"&lt;br&gt;"," |-")</f>
        <v xml:space="preserve"> | [http://atom.kaeri.re.kr/cgi-bin/nuclide?nuc=Sr-87 &lt;sub&gt;87&lt;/sub&gt;Sr] || 7 % || stabil || &lt;br&gt; |-</v>
      </c>
    </row>
    <row r="186" spans="1:14" ht="15.95" customHeight="1">
      <c r="A186" s="17">
        <v>38</v>
      </c>
      <c r="B186" s="21" t="s">
        <v>72</v>
      </c>
      <c r="C186" s="17">
        <v>88</v>
      </c>
      <c r="D186" s="17">
        <v>82.58</v>
      </c>
      <c r="E186" t="s">
        <v>981</v>
      </c>
      <c r="G186" t="str">
        <f>CONCATENATE("[","http://atom.kaeri.re.kr/cgi-bin/nuclide?nuc=",B186,"-",C186," &lt;sub&gt;",C186,"&lt;/sub&gt;",B186,"]")</f>
        <v>[http://atom.kaeri.re.kr/cgi-bin/nuclide?nuc=Sr-88 &lt;sub&gt;88&lt;/sub&gt;Sr]</v>
      </c>
      <c r="H186" t="str">
        <f>CONCATENATE(D186," % || ",E186)</f>
        <v>82,58 % || stabil</v>
      </c>
      <c r="I186" t="str">
        <f>CONCATENATE(" | ",G186," || ",H186," || ",F186)</f>
        <v xml:space="preserve"> | [http://atom.kaeri.re.kr/cgi-bin/nuclide?nuc=Sr-88 &lt;sub&gt;88&lt;/sub&gt;Sr] || 82,58 % || stabil || </v>
      </c>
      <c r="N186" t="str">
        <f>CONCATENATE(I186,"&lt;br&gt;"," |-")</f>
        <v xml:space="preserve"> | [http://atom.kaeri.re.kr/cgi-bin/nuclide?nuc=Sr-88 &lt;sub&gt;88&lt;/sub&gt;Sr] || 82,58 % || stabil || &lt;br&gt; |-</v>
      </c>
    </row>
    <row r="187" spans="1:14" s="18" customFormat="1" ht="15.95" customHeight="1">
      <c r="A187" s="17">
        <v>38</v>
      </c>
      <c r="B187" s="22" t="s">
        <v>72</v>
      </c>
      <c r="C187" s="19">
        <v>90</v>
      </c>
      <c r="D187" s="18" t="s">
        <v>874</v>
      </c>
      <c r="E187" t="s">
        <v>952</v>
      </c>
      <c r="F187" t="s">
        <v>990</v>
      </c>
      <c r="G187" t="str">
        <f>CONCATENATE("[","http://atom.kaeri.re.kr/cgi-bin/nuclide?nuc=",B187,"-",C187," &lt;sub&gt;",C187,"&lt;/sub&gt;",B187,"]")</f>
        <v>[http://atom.kaeri.re.kr/cgi-bin/nuclide?nuc=Sr-90 &lt;sub&gt;90&lt;/sub&gt;Sr]</v>
      </c>
      <c r="H187" t="str">
        <f>CONCATENATE(D187," % || ",E187)</f>
        <v>- % || 28,5 Jahre</v>
      </c>
      <c r="I187" t="str">
        <f>CONCATENATE(" | ",G187," || ",H187," || ",F187)</f>
        <v xml:space="preserve"> | [http://atom.kaeri.re.kr/cgi-bin/nuclide?nuc=Sr-90 &lt;sub&gt;90&lt;/sub&gt;Sr] || - % || 28,5 Jahre || [[radioaktiv]], Kernwaffenfallout, Kerntechnik, Medizin</v>
      </c>
      <c r="J187"/>
      <c r="K187"/>
      <c r="L187"/>
      <c r="M187"/>
      <c r="N187" t="str">
        <f>CONCATENATE(I187,"&lt;br&gt;"," |-")</f>
        <v xml:space="preserve"> | [http://atom.kaeri.re.kr/cgi-bin/nuclide?nuc=Sr-90 &lt;sub&gt;90&lt;/sub&gt;Sr] || - % || 28,5 Jahre || [[radioaktiv]], Kernwaffenfallout, Kerntechnik, Medizin&lt;br&gt; |-</v>
      </c>
    </row>
    <row r="188" spans="1:14" ht="15.95" customHeight="1">
      <c r="A188" s="17">
        <v>38</v>
      </c>
      <c r="B188" s="23" t="s">
        <v>72</v>
      </c>
      <c r="C188">
        <v>999</v>
      </c>
      <c r="D188" t="s">
        <v>73</v>
      </c>
      <c r="E188" t="s">
        <v>981</v>
      </c>
      <c r="N188" t="str">
        <f>CONCATENATE(" |}&lt;br&gt;* [http://atom.kaeri.re.kr/cgi-bin/nuclide?nuc=",B188," alle bekannten ",D188,"-Isotope]")</f>
        <v xml:space="preserve"> |}&lt;br&gt;* [http://atom.kaeri.re.kr/cgi-bin/nuclide?nuc=Sr alle bekannten Strontium-Isotope]</v>
      </c>
    </row>
    <row r="189" spans="1:14" ht="15.95" customHeight="1">
      <c r="A189">
        <v>39</v>
      </c>
      <c r="B189" s="23" t="s">
        <v>76</v>
      </c>
      <c r="C189" s="17">
        <v>0</v>
      </c>
      <c r="D189" t="s">
        <v>77</v>
      </c>
      <c r="E189" t="s">
        <v>981</v>
      </c>
      <c r="N189" t="str">
        <f>CONCATENATE("=== [[",D189,"]] ===&lt;br&gt;{| {{tabelle}}&lt;br&gt;! Isotop !! ",$D$1," !! [[",$E$1,"]] !! ",$F$1," &lt;br&gt; |-")</f>
        <v>=== [[Yttrium]] ===&lt;br&gt;{| {{tabelle}}&lt;br&gt;! Isotop !! natürliche Häufigkeit !! [[Halbwertszeit]] !! Herkunft, techn. Bedeutung &lt;br&gt; |-</v>
      </c>
    </row>
    <row r="190" spans="1:14" ht="15.95" customHeight="1">
      <c r="A190" s="17">
        <v>39</v>
      </c>
      <c r="B190" s="21" t="s">
        <v>76</v>
      </c>
      <c r="C190" s="17">
        <v>89</v>
      </c>
      <c r="D190" s="17">
        <v>100</v>
      </c>
      <c r="E190" t="s">
        <v>981</v>
      </c>
      <c r="G190" t="str">
        <f>CONCATENATE("[","http://atom.kaeri.re.kr/cgi-bin/nuclide?nuc=",B190,"-",C190," &lt;sub&gt;",C190,"&lt;/sub&gt;",B190,"]")</f>
        <v>[http://atom.kaeri.re.kr/cgi-bin/nuclide?nuc=Y-89 &lt;sub&gt;89&lt;/sub&gt;Y]</v>
      </c>
      <c r="H190" t="str">
        <f>CONCATENATE(D190," % || ",E190)</f>
        <v>100 % || stabil</v>
      </c>
      <c r="I190" t="str">
        <f>CONCATENATE(" | ",G190," || ",H190," || ",F190)</f>
        <v xml:space="preserve"> | [http://atom.kaeri.re.kr/cgi-bin/nuclide?nuc=Y-89 &lt;sub&gt;89&lt;/sub&gt;Y] || 100 % || stabil || </v>
      </c>
      <c r="N190" t="str">
        <f>CONCATENATE(I190,"&lt;br&gt;"," |-")</f>
        <v xml:space="preserve"> | [http://atom.kaeri.re.kr/cgi-bin/nuclide?nuc=Y-89 &lt;sub&gt;89&lt;/sub&gt;Y] || 100 % || stabil || &lt;br&gt; |-</v>
      </c>
    </row>
    <row r="191" spans="1:14" ht="15.95" customHeight="1">
      <c r="A191">
        <v>39</v>
      </c>
      <c r="B191" s="23" t="s">
        <v>76</v>
      </c>
      <c r="C191">
        <v>999</v>
      </c>
      <c r="D191" t="s">
        <v>77</v>
      </c>
      <c r="E191" t="s">
        <v>981</v>
      </c>
      <c r="N191" t="str">
        <f>CONCATENATE(" |}&lt;br&gt;* [http://atom.kaeri.re.kr/cgi-bin/nuclide?nuc=",B191," alle bekannten ",D191,"-Isotope]")</f>
        <v xml:space="preserve"> |}&lt;br&gt;* [http://atom.kaeri.re.kr/cgi-bin/nuclide?nuc=Y alle bekannten Yttrium-Isotope]</v>
      </c>
    </row>
    <row r="192" spans="1:14" ht="15.95" customHeight="1">
      <c r="A192">
        <v>40</v>
      </c>
      <c r="B192" s="23" t="s">
        <v>80</v>
      </c>
      <c r="C192" s="17">
        <v>0</v>
      </c>
      <c r="D192" t="s">
        <v>81</v>
      </c>
      <c r="E192" t="s">
        <v>981</v>
      </c>
      <c r="N192" t="str">
        <f>CONCATENATE("=== [[",D192,"]] ===&lt;br&gt;{| {{tabelle}}&lt;br&gt;! Isotop !! ",$D$1," !! [[",$E$1,"]] !! ",$F$1," &lt;br&gt; |-")</f>
        <v>=== [[Zirconium]] ===&lt;br&gt;{| {{tabelle}}&lt;br&gt;! Isotop !! natürliche Häufigkeit !! [[Halbwertszeit]] !! Herkunft, techn. Bedeutung &lt;br&gt; |-</v>
      </c>
    </row>
    <row r="193" spans="1:14" ht="15.95" customHeight="1">
      <c r="A193" s="17">
        <v>40</v>
      </c>
      <c r="B193" s="21" t="s">
        <v>80</v>
      </c>
      <c r="C193" s="17">
        <v>90</v>
      </c>
      <c r="D193" s="17">
        <v>51.45</v>
      </c>
      <c r="E193" t="s">
        <v>981</v>
      </c>
      <c r="G193" t="str">
        <f>CONCATENATE("[","http://atom.kaeri.re.kr/cgi-bin/nuclide?nuc=",B193,"-",C193," &lt;sub&gt;",C193,"&lt;/sub&gt;",B193,"]")</f>
        <v>[http://atom.kaeri.re.kr/cgi-bin/nuclide?nuc=Zr-90 &lt;sub&gt;90&lt;/sub&gt;Zr]</v>
      </c>
      <c r="H193" t="str">
        <f>CONCATENATE(D193," % || ",E193)</f>
        <v>51,45 % || stabil</v>
      </c>
      <c r="I193" t="str">
        <f>CONCATENATE(" | ",G193," || ",H193," || ",F193)</f>
        <v xml:space="preserve"> | [http://atom.kaeri.re.kr/cgi-bin/nuclide?nuc=Zr-90 &lt;sub&gt;90&lt;/sub&gt;Zr] || 51,45 % || stabil || </v>
      </c>
      <c r="N193" t="str">
        <f>CONCATENATE(I193,"&lt;br&gt;"," |-")</f>
        <v xml:space="preserve"> | [http://atom.kaeri.re.kr/cgi-bin/nuclide?nuc=Zr-90 &lt;sub&gt;90&lt;/sub&gt;Zr] || 51,45 % || stabil || &lt;br&gt; |-</v>
      </c>
    </row>
    <row r="194" spans="1:14" ht="15.95" customHeight="1">
      <c r="A194" s="17">
        <v>40</v>
      </c>
      <c r="B194" s="21" t="s">
        <v>80</v>
      </c>
      <c r="C194" s="17">
        <v>91</v>
      </c>
      <c r="D194" s="17">
        <v>11.22</v>
      </c>
      <c r="E194" t="s">
        <v>981</v>
      </c>
      <c r="G194" t="str">
        <f>CONCATENATE("[","http://atom.kaeri.re.kr/cgi-bin/nuclide?nuc=",B194,"-",C194," &lt;sub&gt;",C194,"&lt;/sub&gt;",B194,"]")</f>
        <v>[http://atom.kaeri.re.kr/cgi-bin/nuclide?nuc=Zr-91 &lt;sub&gt;91&lt;/sub&gt;Zr]</v>
      </c>
      <c r="H194" t="str">
        <f>CONCATENATE(D194," % || ",E194)</f>
        <v>11,22 % || stabil</v>
      </c>
      <c r="I194" t="str">
        <f>CONCATENATE(" | ",G194," || ",H194," || ",F194)</f>
        <v xml:space="preserve"> | [http://atom.kaeri.re.kr/cgi-bin/nuclide?nuc=Zr-91 &lt;sub&gt;91&lt;/sub&gt;Zr] || 11,22 % || stabil || </v>
      </c>
      <c r="N194" t="str">
        <f>CONCATENATE(I194,"&lt;br&gt;"," |-")</f>
        <v xml:space="preserve"> | [http://atom.kaeri.re.kr/cgi-bin/nuclide?nuc=Zr-91 &lt;sub&gt;91&lt;/sub&gt;Zr] || 11,22 % || stabil || &lt;br&gt; |-</v>
      </c>
    </row>
    <row r="195" spans="1:14" ht="15.95" customHeight="1">
      <c r="A195" s="17">
        <v>40</v>
      </c>
      <c r="B195" s="21" t="s">
        <v>80</v>
      </c>
      <c r="C195" s="17">
        <v>92</v>
      </c>
      <c r="D195" s="17">
        <v>17.149999999999999</v>
      </c>
      <c r="E195" t="s">
        <v>981</v>
      </c>
      <c r="G195" t="str">
        <f>CONCATENATE("[","http://atom.kaeri.re.kr/cgi-bin/nuclide?nuc=",B195,"-",C195," &lt;sub&gt;",C195,"&lt;/sub&gt;",B195,"]")</f>
        <v>[http://atom.kaeri.re.kr/cgi-bin/nuclide?nuc=Zr-92 &lt;sub&gt;92&lt;/sub&gt;Zr]</v>
      </c>
      <c r="H195" t="str">
        <f>CONCATENATE(D195," % || ",E195)</f>
        <v>17,15 % || stabil</v>
      </c>
      <c r="I195" t="str">
        <f>CONCATENATE(" | ",G195," || ",H195," || ",F195)</f>
        <v xml:space="preserve"> | [http://atom.kaeri.re.kr/cgi-bin/nuclide?nuc=Zr-92 &lt;sub&gt;92&lt;/sub&gt;Zr] || 17,15 % || stabil || </v>
      </c>
      <c r="N195" t="str">
        <f>CONCATENATE(I195,"&lt;br&gt;"," |-")</f>
        <v xml:space="preserve"> | [http://atom.kaeri.re.kr/cgi-bin/nuclide?nuc=Zr-92 &lt;sub&gt;92&lt;/sub&gt;Zr] || 17,15 % || stabil || &lt;br&gt; |-</v>
      </c>
    </row>
    <row r="196" spans="1:14" ht="15.95" customHeight="1">
      <c r="A196" s="17">
        <v>40</v>
      </c>
      <c r="B196" s="21" t="s">
        <v>80</v>
      </c>
      <c r="C196" s="17">
        <v>94</v>
      </c>
      <c r="D196" s="17">
        <v>17.38</v>
      </c>
      <c r="E196" t="s">
        <v>981</v>
      </c>
      <c r="G196" t="str">
        <f>CONCATENATE("[","http://atom.kaeri.re.kr/cgi-bin/nuclide?nuc=",B196,"-",C196," &lt;sub&gt;",C196,"&lt;/sub&gt;",B196,"]")</f>
        <v>[http://atom.kaeri.re.kr/cgi-bin/nuclide?nuc=Zr-94 &lt;sub&gt;94&lt;/sub&gt;Zr]</v>
      </c>
      <c r="H196" t="str">
        <f>CONCATENATE(D196," % || ",E196)</f>
        <v>17,38 % || stabil</v>
      </c>
      <c r="I196" t="str">
        <f>CONCATENATE(" | ",G196," || ",H196," || ",F196)</f>
        <v xml:space="preserve"> | [http://atom.kaeri.re.kr/cgi-bin/nuclide?nuc=Zr-94 &lt;sub&gt;94&lt;/sub&gt;Zr] || 17,38 % || stabil || </v>
      </c>
      <c r="N196" t="str">
        <f>CONCATENATE(I196,"&lt;br&gt;"," |-")</f>
        <v xml:space="preserve"> | [http://atom.kaeri.re.kr/cgi-bin/nuclide?nuc=Zr-94 &lt;sub&gt;94&lt;/sub&gt;Zr] || 17,38 % || stabil || &lt;br&gt; |-</v>
      </c>
    </row>
    <row r="197" spans="1:14" ht="15.95" customHeight="1">
      <c r="A197" s="17">
        <v>40</v>
      </c>
      <c r="B197" s="21" t="s">
        <v>80</v>
      </c>
      <c r="C197" s="17">
        <v>96</v>
      </c>
      <c r="D197" s="17">
        <v>2.8</v>
      </c>
      <c r="E197" t="s">
        <v>981</v>
      </c>
      <c r="G197" t="str">
        <f>CONCATENATE("[","http://atom.kaeri.re.kr/cgi-bin/nuclide?nuc=",B197,"-",C197," &lt;sub&gt;",C197,"&lt;/sub&gt;",B197,"]")</f>
        <v>[http://atom.kaeri.re.kr/cgi-bin/nuclide?nuc=Zr-96 &lt;sub&gt;96&lt;/sub&gt;Zr]</v>
      </c>
      <c r="H197" t="str">
        <f>CONCATENATE(D197," % || ",E197)</f>
        <v>2,8 % || stabil</v>
      </c>
      <c r="I197" t="str">
        <f>CONCATENATE(" | ",G197," || ",H197," || ",F197)</f>
        <v xml:space="preserve"> | [http://atom.kaeri.re.kr/cgi-bin/nuclide?nuc=Zr-96 &lt;sub&gt;96&lt;/sub&gt;Zr] || 2,8 % || stabil || </v>
      </c>
      <c r="N197" t="str">
        <f>CONCATENATE(I197,"&lt;br&gt;"," |-")</f>
        <v xml:space="preserve"> | [http://atom.kaeri.re.kr/cgi-bin/nuclide?nuc=Zr-96 &lt;sub&gt;96&lt;/sub&gt;Zr] || 2,8 % || stabil || &lt;br&gt; |-</v>
      </c>
    </row>
    <row r="198" spans="1:14" ht="15.95" customHeight="1">
      <c r="A198">
        <v>40</v>
      </c>
      <c r="B198" s="23" t="s">
        <v>80</v>
      </c>
      <c r="C198">
        <v>999</v>
      </c>
      <c r="D198" t="s">
        <v>81</v>
      </c>
      <c r="E198" t="s">
        <v>981</v>
      </c>
      <c r="N198" t="str">
        <f>CONCATENATE(" |}&lt;br&gt;* [http://atom.kaeri.re.kr/cgi-bin/nuclide?nuc=",B198," alle bekannten ",D198,"-Isotope]")</f>
        <v xml:space="preserve"> |}&lt;br&gt;* [http://atom.kaeri.re.kr/cgi-bin/nuclide?nuc=Zr alle bekannten Zirconium-Isotope]</v>
      </c>
    </row>
    <row r="199" spans="1:14" ht="15.95" customHeight="1">
      <c r="A199">
        <v>41</v>
      </c>
      <c r="B199" s="23" t="s">
        <v>83</v>
      </c>
      <c r="C199" s="17">
        <v>0</v>
      </c>
      <c r="D199" t="s">
        <v>84</v>
      </c>
      <c r="E199" t="s">
        <v>981</v>
      </c>
      <c r="N199" t="str">
        <f>CONCATENATE("=== [[",D199,"]] ===&lt;br&gt;{| {{tabelle}}&lt;br&gt;! Isotop !! ",$D$1," !! [[",$E$1,"]] !! ",$F$1," &lt;br&gt; |-")</f>
        <v>=== [[Niob]] ===&lt;br&gt;{| {{tabelle}}&lt;br&gt;! Isotop !! natürliche Häufigkeit !! [[Halbwertszeit]] !! Herkunft, techn. Bedeutung &lt;br&gt; |-</v>
      </c>
    </row>
    <row r="200" spans="1:14" ht="15.95" customHeight="1">
      <c r="A200" s="17">
        <v>41</v>
      </c>
      <c r="B200" s="21" t="s">
        <v>83</v>
      </c>
      <c r="C200" s="17">
        <v>93</v>
      </c>
      <c r="D200" s="17">
        <v>100</v>
      </c>
      <c r="E200" t="s">
        <v>981</v>
      </c>
      <c r="G200" t="str">
        <f>CONCATENATE("[","http://atom.kaeri.re.kr/cgi-bin/nuclide?nuc=",B200,"-",C200," &lt;sub&gt;",C200,"&lt;/sub&gt;",B200,"]")</f>
        <v>[http://atom.kaeri.re.kr/cgi-bin/nuclide?nuc=Nb-93 &lt;sub&gt;93&lt;/sub&gt;Nb]</v>
      </c>
      <c r="H200" t="str">
        <f>CONCATENATE(D200," % || ",E200)</f>
        <v>100 % || stabil</v>
      </c>
      <c r="I200" t="str">
        <f>CONCATENATE(" | ",G200," || ",H200," || ",F200)</f>
        <v xml:space="preserve"> | [http://atom.kaeri.re.kr/cgi-bin/nuclide?nuc=Nb-93 &lt;sub&gt;93&lt;/sub&gt;Nb] || 100 % || stabil || </v>
      </c>
      <c r="N200" t="str">
        <f>CONCATENATE(I200,"&lt;br&gt;"," |-")</f>
        <v xml:space="preserve"> | [http://atom.kaeri.re.kr/cgi-bin/nuclide?nuc=Nb-93 &lt;sub&gt;93&lt;/sub&gt;Nb] || 100 % || stabil || &lt;br&gt; |-</v>
      </c>
    </row>
    <row r="201" spans="1:14" ht="15.95" customHeight="1">
      <c r="A201">
        <v>41</v>
      </c>
      <c r="B201" s="23" t="s">
        <v>83</v>
      </c>
      <c r="C201">
        <v>999</v>
      </c>
      <c r="D201" t="s">
        <v>84</v>
      </c>
      <c r="E201" t="s">
        <v>981</v>
      </c>
      <c r="N201" t="str">
        <f>CONCATENATE(" |}&lt;br&gt;* [http://atom.kaeri.re.kr/cgi-bin/nuclide?nuc=",B201," alle bekannten ",D201,"-Isotope]")</f>
        <v xml:space="preserve"> |}&lt;br&gt;* [http://atom.kaeri.re.kr/cgi-bin/nuclide?nuc=Nb alle bekannten Niob-Isotope]</v>
      </c>
    </row>
    <row r="202" spans="1:14" ht="15.95" customHeight="1">
      <c r="A202">
        <v>42</v>
      </c>
      <c r="B202" s="23" t="s">
        <v>86</v>
      </c>
      <c r="C202" s="17">
        <v>0</v>
      </c>
      <c r="D202" t="s">
        <v>87</v>
      </c>
      <c r="E202" t="s">
        <v>981</v>
      </c>
      <c r="N202" t="str">
        <f>CONCATENATE("=== [[",D202,"]] ===&lt;br&gt;{| {{tabelle}}&lt;br&gt;! Isotop !! ",$D$1," !! [[",$E$1,"]] !! ",$F$1," &lt;br&gt; |-")</f>
        <v>=== [[Molybdän]] ===&lt;br&gt;{| {{tabelle}}&lt;br&gt;! Isotop !! natürliche Häufigkeit !! [[Halbwertszeit]] !! Herkunft, techn. Bedeutung &lt;br&gt; |-</v>
      </c>
    </row>
    <row r="203" spans="1:14" ht="15.95" customHeight="1">
      <c r="A203" s="17">
        <v>42</v>
      </c>
      <c r="B203" s="21" t="s">
        <v>86</v>
      </c>
      <c r="C203" s="17">
        <v>92</v>
      </c>
      <c r="D203" s="17">
        <v>14.84</v>
      </c>
      <c r="E203" t="s">
        <v>981</v>
      </c>
      <c r="G203" t="str">
        <f t="shared" ref="G203:G209" si="12">CONCATENATE("[","http://atom.kaeri.re.kr/cgi-bin/nuclide?nuc=",B203,"-",C203," &lt;sub&gt;",C203,"&lt;/sub&gt;",B203,"]")</f>
        <v>[http://atom.kaeri.re.kr/cgi-bin/nuclide?nuc=Mo-92 &lt;sub&gt;92&lt;/sub&gt;Mo]</v>
      </c>
      <c r="H203" t="str">
        <f t="shared" ref="H203:H209" si="13">CONCATENATE(D203," % || ",E203)</f>
        <v>14,84 % || stabil</v>
      </c>
      <c r="I203" t="str">
        <f t="shared" ref="I203:I209" si="14">CONCATENATE(" | ",G203," || ",H203," || ",F203)</f>
        <v xml:space="preserve"> | [http://atom.kaeri.re.kr/cgi-bin/nuclide?nuc=Mo-92 &lt;sub&gt;92&lt;/sub&gt;Mo] || 14,84 % || stabil || </v>
      </c>
      <c r="N203" t="str">
        <f t="shared" ref="N203:N209" si="15">CONCATENATE(I203,"&lt;br&gt;"," |-")</f>
        <v xml:space="preserve"> | [http://atom.kaeri.re.kr/cgi-bin/nuclide?nuc=Mo-92 &lt;sub&gt;92&lt;/sub&gt;Mo] || 14,84 % || stabil || &lt;br&gt; |-</v>
      </c>
    </row>
    <row r="204" spans="1:14" ht="15.95" customHeight="1">
      <c r="A204" s="17">
        <v>42</v>
      </c>
      <c r="B204" s="21" t="s">
        <v>86</v>
      </c>
      <c r="C204" s="17">
        <v>94</v>
      </c>
      <c r="D204" s="17">
        <v>9.25</v>
      </c>
      <c r="E204" t="s">
        <v>981</v>
      </c>
      <c r="G204" t="str">
        <f t="shared" si="12"/>
        <v>[http://atom.kaeri.re.kr/cgi-bin/nuclide?nuc=Mo-94 &lt;sub&gt;94&lt;/sub&gt;Mo]</v>
      </c>
      <c r="H204" t="str">
        <f t="shared" si="13"/>
        <v>9,25 % || stabil</v>
      </c>
      <c r="I204" t="str">
        <f t="shared" si="14"/>
        <v xml:space="preserve"> | [http://atom.kaeri.re.kr/cgi-bin/nuclide?nuc=Mo-94 &lt;sub&gt;94&lt;/sub&gt;Mo] || 9,25 % || stabil || </v>
      </c>
      <c r="N204" t="str">
        <f t="shared" si="15"/>
        <v xml:space="preserve"> | [http://atom.kaeri.re.kr/cgi-bin/nuclide?nuc=Mo-94 &lt;sub&gt;94&lt;/sub&gt;Mo] || 9,25 % || stabil || &lt;br&gt; |-</v>
      </c>
    </row>
    <row r="205" spans="1:14" ht="15.95" customHeight="1">
      <c r="A205" s="17">
        <v>42</v>
      </c>
      <c r="B205" s="21" t="s">
        <v>86</v>
      </c>
      <c r="C205" s="17">
        <v>95</v>
      </c>
      <c r="D205" s="17">
        <v>15.92</v>
      </c>
      <c r="E205" t="s">
        <v>981</v>
      </c>
      <c r="G205" t="str">
        <f t="shared" si="12"/>
        <v>[http://atom.kaeri.re.kr/cgi-bin/nuclide?nuc=Mo-95 &lt;sub&gt;95&lt;/sub&gt;Mo]</v>
      </c>
      <c r="H205" t="str">
        <f t="shared" si="13"/>
        <v>15,92 % || stabil</v>
      </c>
      <c r="I205" t="str">
        <f t="shared" si="14"/>
        <v xml:space="preserve"> | [http://atom.kaeri.re.kr/cgi-bin/nuclide?nuc=Mo-95 &lt;sub&gt;95&lt;/sub&gt;Mo] || 15,92 % || stabil || </v>
      </c>
      <c r="N205" t="str">
        <f t="shared" si="15"/>
        <v xml:space="preserve"> | [http://atom.kaeri.re.kr/cgi-bin/nuclide?nuc=Mo-95 &lt;sub&gt;95&lt;/sub&gt;Mo] || 15,92 % || stabil || &lt;br&gt; |-</v>
      </c>
    </row>
    <row r="206" spans="1:14" ht="15.95" customHeight="1">
      <c r="A206" s="17">
        <v>42</v>
      </c>
      <c r="B206" s="21" t="s">
        <v>86</v>
      </c>
      <c r="C206" s="17">
        <v>96</v>
      </c>
      <c r="D206" s="17">
        <v>16.68</v>
      </c>
      <c r="E206" t="s">
        <v>981</v>
      </c>
      <c r="G206" t="str">
        <f t="shared" si="12"/>
        <v>[http://atom.kaeri.re.kr/cgi-bin/nuclide?nuc=Mo-96 &lt;sub&gt;96&lt;/sub&gt;Mo]</v>
      </c>
      <c r="H206" t="str">
        <f t="shared" si="13"/>
        <v>16,68 % || stabil</v>
      </c>
      <c r="I206" t="str">
        <f t="shared" si="14"/>
        <v xml:space="preserve"> | [http://atom.kaeri.re.kr/cgi-bin/nuclide?nuc=Mo-96 &lt;sub&gt;96&lt;/sub&gt;Mo] || 16,68 % || stabil || </v>
      </c>
      <c r="N206" t="str">
        <f t="shared" si="15"/>
        <v xml:space="preserve"> | [http://atom.kaeri.re.kr/cgi-bin/nuclide?nuc=Mo-96 &lt;sub&gt;96&lt;/sub&gt;Mo] || 16,68 % || stabil || &lt;br&gt; |-</v>
      </c>
    </row>
    <row r="207" spans="1:14" ht="15.95" customHeight="1">
      <c r="A207" s="17">
        <v>42</v>
      </c>
      <c r="B207" s="21" t="s">
        <v>86</v>
      </c>
      <c r="C207" s="17">
        <v>97</v>
      </c>
      <c r="D207" s="17">
        <v>9.5500000000000007</v>
      </c>
      <c r="E207" t="s">
        <v>981</v>
      </c>
      <c r="G207" t="str">
        <f t="shared" si="12"/>
        <v>[http://atom.kaeri.re.kr/cgi-bin/nuclide?nuc=Mo-97 &lt;sub&gt;97&lt;/sub&gt;Mo]</v>
      </c>
      <c r="H207" t="str">
        <f t="shared" si="13"/>
        <v>9,55 % || stabil</v>
      </c>
      <c r="I207" t="str">
        <f t="shared" si="14"/>
        <v xml:space="preserve"> | [http://atom.kaeri.re.kr/cgi-bin/nuclide?nuc=Mo-97 &lt;sub&gt;97&lt;/sub&gt;Mo] || 9,55 % || stabil || </v>
      </c>
      <c r="N207" t="str">
        <f t="shared" si="15"/>
        <v xml:space="preserve"> | [http://atom.kaeri.re.kr/cgi-bin/nuclide?nuc=Mo-97 &lt;sub&gt;97&lt;/sub&gt;Mo] || 9,55 % || stabil || &lt;br&gt; |-</v>
      </c>
    </row>
    <row r="208" spans="1:14" ht="15.95" customHeight="1">
      <c r="A208" s="17">
        <v>42</v>
      </c>
      <c r="B208" s="21" t="s">
        <v>86</v>
      </c>
      <c r="C208" s="17">
        <v>98</v>
      </c>
      <c r="D208" s="17">
        <v>24.13</v>
      </c>
      <c r="E208" t="s">
        <v>981</v>
      </c>
      <c r="G208" t="str">
        <f t="shared" si="12"/>
        <v>[http://atom.kaeri.re.kr/cgi-bin/nuclide?nuc=Mo-98 &lt;sub&gt;98&lt;/sub&gt;Mo]</v>
      </c>
      <c r="H208" t="str">
        <f t="shared" si="13"/>
        <v>24,13 % || stabil</v>
      </c>
      <c r="I208" t="str">
        <f t="shared" si="14"/>
        <v xml:space="preserve"> | [http://atom.kaeri.re.kr/cgi-bin/nuclide?nuc=Mo-98 &lt;sub&gt;98&lt;/sub&gt;Mo] || 24,13 % || stabil || </v>
      </c>
      <c r="N208" t="str">
        <f t="shared" si="15"/>
        <v xml:space="preserve"> | [http://atom.kaeri.re.kr/cgi-bin/nuclide?nuc=Mo-98 &lt;sub&gt;98&lt;/sub&gt;Mo] || 24,13 % || stabil || &lt;br&gt; |-</v>
      </c>
    </row>
    <row r="209" spans="1:14" ht="15.95" customHeight="1">
      <c r="A209" s="17">
        <v>42</v>
      </c>
      <c r="B209" s="21" t="s">
        <v>86</v>
      </c>
      <c r="C209" s="17">
        <v>100</v>
      </c>
      <c r="D209" s="17">
        <v>9.6300000000000008</v>
      </c>
      <c r="E209" t="s">
        <v>981</v>
      </c>
      <c r="G209" t="str">
        <f t="shared" si="12"/>
        <v>[http://atom.kaeri.re.kr/cgi-bin/nuclide?nuc=Mo-100 &lt;sub&gt;100&lt;/sub&gt;Mo]</v>
      </c>
      <c r="H209" t="str">
        <f t="shared" si="13"/>
        <v>9,63 % || stabil</v>
      </c>
      <c r="I209" t="str">
        <f t="shared" si="14"/>
        <v xml:space="preserve"> | [http://atom.kaeri.re.kr/cgi-bin/nuclide?nuc=Mo-100 &lt;sub&gt;100&lt;/sub&gt;Mo] || 9,63 % || stabil || </v>
      </c>
      <c r="N209" t="str">
        <f t="shared" si="15"/>
        <v xml:space="preserve"> | [http://atom.kaeri.re.kr/cgi-bin/nuclide?nuc=Mo-100 &lt;sub&gt;100&lt;/sub&gt;Mo] || 9,63 % || stabil || &lt;br&gt; |-</v>
      </c>
    </row>
    <row r="210" spans="1:14" ht="15.95" customHeight="1">
      <c r="A210">
        <v>42</v>
      </c>
      <c r="B210" s="23" t="s">
        <v>86</v>
      </c>
      <c r="C210">
        <v>999</v>
      </c>
      <c r="D210" t="s">
        <v>87</v>
      </c>
      <c r="E210" t="s">
        <v>981</v>
      </c>
      <c r="N210" t="str">
        <f>CONCATENATE(" |}&lt;br&gt;* [http://atom.kaeri.re.kr/cgi-bin/nuclide?nuc=",B210," alle bekannten ",D210,"-Isotope]")</f>
        <v xml:space="preserve"> |}&lt;br&gt;* [http://atom.kaeri.re.kr/cgi-bin/nuclide?nuc=Mo alle bekannten Molybdän-Isotope]</v>
      </c>
    </row>
    <row r="211" spans="1:14" ht="15.95" customHeight="1">
      <c r="A211">
        <v>43</v>
      </c>
      <c r="B211" s="23" t="s">
        <v>89</v>
      </c>
      <c r="C211" s="17">
        <v>0</v>
      </c>
      <c r="D211" t="s">
        <v>90</v>
      </c>
      <c r="E211" t="s">
        <v>981</v>
      </c>
      <c r="N211" t="str">
        <f>CONCATENATE("=== [[",D211,"]] ===&lt;br&gt;{| {{tabelle}}&lt;br&gt;! Isotop !! ",$D$1," !! [[",$E$1,"]] !! ",$F$1," &lt;br&gt; |-")</f>
        <v>=== [[Technetium]] ===&lt;br&gt;{| {{tabelle}}&lt;br&gt;! Isotop !! natürliche Häufigkeit !! [[Halbwertszeit]] !! Herkunft, techn. Bedeutung &lt;br&gt; |-</v>
      </c>
    </row>
    <row r="212" spans="1:14" ht="15.95" customHeight="1">
      <c r="A212">
        <v>43</v>
      </c>
      <c r="B212" s="22" t="s">
        <v>89</v>
      </c>
      <c r="C212" s="19">
        <v>98</v>
      </c>
      <c r="D212" t="s">
        <v>874</v>
      </c>
      <c r="E212" t="s">
        <v>987</v>
      </c>
      <c r="F212" t="s">
        <v>983</v>
      </c>
      <c r="G212" t="str">
        <f>CONCATENATE("[","http://atom.kaeri.re.kr/cgi-bin/nuclide?nuc=",B212,"-",C212," &lt;sub&gt;",C212,"&lt;/sub&gt;",B212,"]")</f>
        <v>[http://atom.kaeri.re.kr/cgi-bin/nuclide?nuc=Tc-98 &lt;sub&gt;98&lt;/sub&gt;Tc]</v>
      </c>
      <c r="H212" t="str">
        <f>CONCATENATE(D212," % || ",E212)</f>
        <v>- % || 6,6 Millionen Jahre</v>
      </c>
      <c r="I212" t="str">
        <f>CONCATENATE(" | ",G212," || ",H212," || ",F212)</f>
        <v xml:space="preserve"> | [http://atom.kaeri.re.kr/cgi-bin/nuclide?nuc=Tc-98 &lt;sub&gt;98&lt;/sub&gt;Tc] || - % || 6,6 Millionen Jahre || [[radioaktiv]]</v>
      </c>
      <c r="N212" t="str">
        <f>CONCATENATE(I212,"&lt;br&gt;"," |-")</f>
        <v xml:space="preserve"> | [http://atom.kaeri.re.kr/cgi-bin/nuclide?nuc=Tc-98 &lt;sub&gt;98&lt;/sub&gt;Tc] || - % || 6,6 Millionen Jahre || [[radioaktiv]]&lt;br&gt; |-</v>
      </c>
    </row>
    <row r="213" spans="1:14" s="18" customFormat="1" ht="15.95" customHeight="1">
      <c r="A213">
        <v>43</v>
      </c>
      <c r="B213" s="22" t="s">
        <v>89</v>
      </c>
      <c r="C213" s="19" t="s">
        <v>989</v>
      </c>
      <c r="D213" s="18" t="s">
        <v>874</v>
      </c>
      <c r="E213" t="s">
        <v>951</v>
      </c>
      <c r="F213" t="s">
        <v>988</v>
      </c>
      <c r="G213" t="str">
        <f>CONCATENATE("[","http://atom.kaeri.re.kr/cgi-bin/nuclide?nuc=",B213,"-",C213," &lt;sub&gt;",C213,"&lt;/sub&gt;",B213,"]")</f>
        <v>[http://atom.kaeri.re.kr/cgi-bin/nuclide?nuc=Tc-99m &lt;sub&gt;99m&lt;/sub&gt;Tc]</v>
      </c>
      <c r="H213" t="str">
        <f>CONCATENATE(D213," % || ",E213)</f>
        <v>- % || 6,0 Stunden</v>
      </c>
      <c r="I213" t="str">
        <f>CONCATENATE(" | ",G213," || ",H213," || ",F213)</f>
        <v xml:space="preserve"> | [http://atom.kaeri.re.kr/cgi-bin/nuclide?nuc=Tc-99m &lt;sub&gt;99m&lt;/sub&gt;Tc] || - % || 6,0 Stunden || [[radioaktiv]], Nuklearmedizin</v>
      </c>
      <c r="N213" t="str">
        <f>CONCATENATE(I213,"&lt;br&gt;"," |-")</f>
        <v xml:space="preserve"> | [http://atom.kaeri.re.kr/cgi-bin/nuclide?nuc=Tc-99m &lt;sub&gt;99m&lt;/sub&gt;Tc] || - % || 6,0 Stunden || [[radioaktiv]], Nuklearmedizin&lt;br&gt; |-</v>
      </c>
    </row>
    <row r="214" spans="1:14" ht="15.95" customHeight="1">
      <c r="A214">
        <v>43</v>
      </c>
      <c r="B214" s="23" t="s">
        <v>89</v>
      </c>
      <c r="C214" t="s">
        <v>994</v>
      </c>
      <c r="D214" t="s">
        <v>90</v>
      </c>
      <c r="E214" t="s">
        <v>981</v>
      </c>
      <c r="N214" t="str">
        <f>CONCATENATE(" |}&lt;br&gt;* [http://atom.kaeri.re.kr/cgi-bin/nuclide?nuc=",B214," alle bekannten ",D214,"-Isotope]")</f>
        <v xml:space="preserve"> |}&lt;br&gt;* [http://atom.kaeri.re.kr/cgi-bin/nuclide?nuc=Tc alle bekannten Technetium-Isotope]</v>
      </c>
    </row>
    <row r="215" spans="1:14" ht="15.95" customHeight="1">
      <c r="A215">
        <v>44</v>
      </c>
      <c r="B215" s="23" t="s">
        <v>92</v>
      </c>
      <c r="C215" s="17">
        <v>0</v>
      </c>
      <c r="D215" t="s">
        <v>93</v>
      </c>
      <c r="E215" t="s">
        <v>981</v>
      </c>
      <c r="N215" t="str">
        <f>CONCATENATE("=== [[",D215,"]] ===&lt;br&gt;{| {{tabelle}}&lt;br&gt;! Isotop !! ",$D$1," !! [[",$E$1,"]] !! ",$F$1," &lt;br&gt; |-")</f>
        <v>=== [[Ruthenium]] ===&lt;br&gt;{| {{tabelle}}&lt;br&gt;! Isotop !! natürliche Häufigkeit !! [[Halbwertszeit]] !! Herkunft, techn. Bedeutung &lt;br&gt; |-</v>
      </c>
    </row>
    <row r="216" spans="1:14" ht="15.95" customHeight="1">
      <c r="A216" s="17">
        <v>44</v>
      </c>
      <c r="B216" s="21" t="s">
        <v>92</v>
      </c>
      <c r="C216" s="17">
        <v>96</v>
      </c>
      <c r="D216" s="17">
        <v>5.54</v>
      </c>
      <c r="E216" t="s">
        <v>981</v>
      </c>
      <c r="G216" t="str">
        <f t="shared" ref="G216:G222" si="16">CONCATENATE("[","http://atom.kaeri.re.kr/cgi-bin/nuclide?nuc=",B216,"-",C216," &lt;sub&gt;",C216,"&lt;/sub&gt;",B216,"]")</f>
        <v>[http://atom.kaeri.re.kr/cgi-bin/nuclide?nuc=Ru-96 &lt;sub&gt;96&lt;/sub&gt;Ru]</v>
      </c>
      <c r="H216" t="str">
        <f t="shared" ref="H216:H222" si="17">CONCATENATE(D216," % || ",E216)</f>
        <v>5,54 % || stabil</v>
      </c>
      <c r="I216" t="str">
        <f t="shared" ref="I216:I222" si="18">CONCATENATE(" | ",G216," || ",H216," || ",F216)</f>
        <v xml:space="preserve"> | [http://atom.kaeri.re.kr/cgi-bin/nuclide?nuc=Ru-96 &lt;sub&gt;96&lt;/sub&gt;Ru] || 5,54 % || stabil || </v>
      </c>
      <c r="N216" t="str">
        <f t="shared" ref="N216:N222" si="19">CONCATENATE(I216,"&lt;br&gt;"," |-")</f>
        <v xml:space="preserve"> | [http://atom.kaeri.re.kr/cgi-bin/nuclide?nuc=Ru-96 &lt;sub&gt;96&lt;/sub&gt;Ru] || 5,54 % || stabil || &lt;br&gt; |-</v>
      </c>
    </row>
    <row r="217" spans="1:14" ht="15.95" customHeight="1">
      <c r="A217" s="17">
        <v>44</v>
      </c>
      <c r="B217" s="21" t="s">
        <v>92</v>
      </c>
      <c r="C217" s="17">
        <v>98</v>
      </c>
      <c r="D217" s="17">
        <v>1.87</v>
      </c>
      <c r="E217" t="s">
        <v>981</v>
      </c>
      <c r="G217" t="str">
        <f t="shared" si="16"/>
        <v>[http://atom.kaeri.re.kr/cgi-bin/nuclide?nuc=Ru-98 &lt;sub&gt;98&lt;/sub&gt;Ru]</v>
      </c>
      <c r="H217" t="str">
        <f t="shared" si="17"/>
        <v>1,87 % || stabil</v>
      </c>
      <c r="I217" t="str">
        <f t="shared" si="18"/>
        <v xml:space="preserve"> | [http://atom.kaeri.re.kr/cgi-bin/nuclide?nuc=Ru-98 &lt;sub&gt;98&lt;/sub&gt;Ru] || 1,87 % || stabil || </v>
      </c>
      <c r="N217" t="str">
        <f t="shared" si="19"/>
        <v xml:space="preserve"> | [http://atom.kaeri.re.kr/cgi-bin/nuclide?nuc=Ru-98 &lt;sub&gt;98&lt;/sub&gt;Ru] || 1,87 % || stabil || &lt;br&gt; |-</v>
      </c>
    </row>
    <row r="218" spans="1:14" ht="15.95" customHeight="1">
      <c r="A218" s="17">
        <v>44</v>
      </c>
      <c r="B218" s="21" t="s">
        <v>92</v>
      </c>
      <c r="C218" s="17">
        <v>99</v>
      </c>
      <c r="D218" s="17">
        <v>12.76</v>
      </c>
      <c r="E218" t="s">
        <v>981</v>
      </c>
      <c r="G218" t="str">
        <f t="shared" si="16"/>
        <v>[http://atom.kaeri.re.kr/cgi-bin/nuclide?nuc=Ru-99 &lt;sub&gt;99&lt;/sub&gt;Ru]</v>
      </c>
      <c r="H218" t="str">
        <f t="shared" si="17"/>
        <v>12,76 % || stabil</v>
      </c>
      <c r="I218" t="str">
        <f t="shared" si="18"/>
        <v xml:space="preserve"> | [http://atom.kaeri.re.kr/cgi-bin/nuclide?nuc=Ru-99 &lt;sub&gt;99&lt;/sub&gt;Ru] || 12,76 % || stabil || </v>
      </c>
      <c r="N218" t="str">
        <f t="shared" si="19"/>
        <v xml:space="preserve"> | [http://atom.kaeri.re.kr/cgi-bin/nuclide?nuc=Ru-99 &lt;sub&gt;99&lt;/sub&gt;Ru] || 12,76 % || stabil || &lt;br&gt; |-</v>
      </c>
    </row>
    <row r="219" spans="1:14" ht="15.95" customHeight="1">
      <c r="A219" s="17">
        <v>44</v>
      </c>
      <c r="B219" s="21" t="s">
        <v>92</v>
      </c>
      <c r="C219" s="17">
        <v>100</v>
      </c>
      <c r="D219" s="17">
        <v>12.6</v>
      </c>
      <c r="E219" t="s">
        <v>981</v>
      </c>
      <c r="G219" t="str">
        <f t="shared" si="16"/>
        <v>[http://atom.kaeri.re.kr/cgi-bin/nuclide?nuc=Ru-100 &lt;sub&gt;100&lt;/sub&gt;Ru]</v>
      </c>
      <c r="H219" t="str">
        <f t="shared" si="17"/>
        <v>12,6 % || stabil</v>
      </c>
      <c r="I219" t="str">
        <f t="shared" si="18"/>
        <v xml:space="preserve"> | [http://atom.kaeri.re.kr/cgi-bin/nuclide?nuc=Ru-100 &lt;sub&gt;100&lt;/sub&gt;Ru] || 12,6 % || stabil || </v>
      </c>
      <c r="N219" t="str">
        <f t="shared" si="19"/>
        <v xml:space="preserve"> | [http://atom.kaeri.re.kr/cgi-bin/nuclide?nuc=Ru-100 &lt;sub&gt;100&lt;/sub&gt;Ru] || 12,6 % || stabil || &lt;br&gt; |-</v>
      </c>
    </row>
    <row r="220" spans="1:14" ht="15.95" customHeight="1">
      <c r="A220" s="17">
        <v>44</v>
      </c>
      <c r="B220" s="21" t="s">
        <v>92</v>
      </c>
      <c r="C220" s="17">
        <v>101</v>
      </c>
      <c r="D220" s="17">
        <v>17.059999999999999</v>
      </c>
      <c r="E220" t="s">
        <v>981</v>
      </c>
      <c r="G220" t="str">
        <f t="shared" si="16"/>
        <v>[http://atom.kaeri.re.kr/cgi-bin/nuclide?nuc=Ru-101 &lt;sub&gt;101&lt;/sub&gt;Ru]</v>
      </c>
      <c r="H220" t="str">
        <f t="shared" si="17"/>
        <v>17,06 % || stabil</v>
      </c>
      <c r="I220" t="str">
        <f t="shared" si="18"/>
        <v xml:space="preserve"> | [http://atom.kaeri.re.kr/cgi-bin/nuclide?nuc=Ru-101 &lt;sub&gt;101&lt;/sub&gt;Ru] || 17,06 % || stabil || </v>
      </c>
      <c r="N220" t="str">
        <f t="shared" si="19"/>
        <v xml:space="preserve"> | [http://atom.kaeri.re.kr/cgi-bin/nuclide?nuc=Ru-101 &lt;sub&gt;101&lt;/sub&gt;Ru] || 17,06 % || stabil || &lt;br&gt; |-</v>
      </c>
    </row>
    <row r="221" spans="1:14" ht="15.95" customHeight="1">
      <c r="A221" s="17">
        <v>44</v>
      </c>
      <c r="B221" s="21" t="s">
        <v>92</v>
      </c>
      <c r="C221" s="17">
        <v>102</v>
      </c>
      <c r="D221" s="17">
        <v>31.55</v>
      </c>
      <c r="E221" t="s">
        <v>981</v>
      </c>
      <c r="G221" t="str">
        <f t="shared" si="16"/>
        <v>[http://atom.kaeri.re.kr/cgi-bin/nuclide?nuc=Ru-102 &lt;sub&gt;102&lt;/sub&gt;Ru]</v>
      </c>
      <c r="H221" t="str">
        <f t="shared" si="17"/>
        <v>31,55 % || stabil</v>
      </c>
      <c r="I221" t="str">
        <f t="shared" si="18"/>
        <v xml:space="preserve"> | [http://atom.kaeri.re.kr/cgi-bin/nuclide?nuc=Ru-102 &lt;sub&gt;102&lt;/sub&gt;Ru] || 31,55 % || stabil || </v>
      </c>
      <c r="N221" t="str">
        <f t="shared" si="19"/>
        <v xml:space="preserve"> | [http://atom.kaeri.re.kr/cgi-bin/nuclide?nuc=Ru-102 &lt;sub&gt;102&lt;/sub&gt;Ru] || 31,55 % || stabil || &lt;br&gt; |-</v>
      </c>
    </row>
    <row r="222" spans="1:14" ht="15.95" customHeight="1">
      <c r="A222" s="17">
        <v>44</v>
      </c>
      <c r="B222" s="21" t="s">
        <v>92</v>
      </c>
      <c r="C222" s="17">
        <v>104</v>
      </c>
      <c r="D222" s="17">
        <v>18.62</v>
      </c>
      <c r="E222" t="s">
        <v>981</v>
      </c>
      <c r="G222" t="str">
        <f t="shared" si="16"/>
        <v>[http://atom.kaeri.re.kr/cgi-bin/nuclide?nuc=Ru-104 &lt;sub&gt;104&lt;/sub&gt;Ru]</v>
      </c>
      <c r="H222" t="str">
        <f t="shared" si="17"/>
        <v>18,62 % || stabil</v>
      </c>
      <c r="I222" t="str">
        <f t="shared" si="18"/>
        <v xml:space="preserve"> | [http://atom.kaeri.re.kr/cgi-bin/nuclide?nuc=Ru-104 &lt;sub&gt;104&lt;/sub&gt;Ru] || 18,62 % || stabil || </v>
      </c>
      <c r="N222" t="str">
        <f t="shared" si="19"/>
        <v xml:space="preserve"> | [http://atom.kaeri.re.kr/cgi-bin/nuclide?nuc=Ru-104 &lt;sub&gt;104&lt;/sub&gt;Ru] || 18,62 % || stabil || &lt;br&gt; |-</v>
      </c>
    </row>
    <row r="223" spans="1:14" ht="15.95" customHeight="1">
      <c r="A223">
        <v>44</v>
      </c>
      <c r="B223" s="23" t="s">
        <v>92</v>
      </c>
      <c r="C223">
        <v>999</v>
      </c>
      <c r="D223" t="s">
        <v>93</v>
      </c>
      <c r="E223" t="s">
        <v>981</v>
      </c>
      <c r="N223" t="str">
        <f>CONCATENATE(" |}&lt;br&gt;* [http://atom.kaeri.re.kr/cgi-bin/nuclide?nuc=",B223," alle bekannten ",D223,"-Isotope]")</f>
        <v xml:space="preserve"> |}&lt;br&gt;* [http://atom.kaeri.re.kr/cgi-bin/nuclide?nuc=Ru alle bekannten Ruthenium-Isotope]</v>
      </c>
    </row>
    <row r="224" spans="1:14" ht="15.95" customHeight="1">
      <c r="A224">
        <v>45</v>
      </c>
      <c r="B224" s="23" t="s">
        <v>96</v>
      </c>
      <c r="C224" s="17">
        <v>0</v>
      </c>
      <c r="D224" t="s">
        <v>97</v>
      </c>
      <c r="E224" t="s">
        <v>981</v>
      </c>
      <c r="N224" t="str">
        <f>CONCATENATE("=== [[",D224,"]] ===&lt;br&gt;{| {{tabelle}}&lt;br&gt;! Isotop !! ",$D$1," !! [[",$E$1,"]] !! ",$F$1," &lt;br&gt; |-")</f>
        <v>=== [[Rhodium]] ===&lt;br&gt;{| {{tabelle}}&lt;br&gt;! Isotop !! natürliche Häufigkeit !! [[Halbwertszeit]] !! Herkunft, techn. Bedeutung &lt;br&gt; |-</v>
      </c>
    </row>
    <row r="225" spans="1:14" ht="15.95" customHeight="1">
      <c r="A225" s="17">
        <v>45</v>
      </c>
      <c r="B225" s="21" t="s">
        <v>96</v>
      </c>
      <c r="C225" s="17">
        <v>103</v>
      </c>
      <c r="D225" s="17">
        <v>100</v>
      </c>
      <c r="E225" t="s">
        <v>981</v>
      </c>
      <c r="G225" t="str">
        <f>CONCATENATE("[","http://atom.kaeri.re.kr/cgi-bin/nuclide?nuc=",B225,"-",C225," &lt;sub&gt;",C225,"&lt;/sub&gt;",B225,"]")</f>
        <v>[http://atom.kaeri.re.kr/cgi-bin/nuclide?nuc=Rh-103 &lt;sub&gt;103&lt;/sub&gt;Rh]</v>
      </c>
      <c r="H225" t="str">
        <f>CONCATENATE(D225," % || ",E225)</f>
        <v>100 % || stabil</v>
      </c>
      <c r="I225" t="str">
        <f>CONCATENATE(" | ",G225," || ",H225," || ",F225)</f>
        <v xml:space="preserve"> | [http://atom.kaeri.re.kr/cgi-bin/nuclide?nuc=Rh-103 &lt;sub&gt;103&lt;/sub&gt;Rh] || 100 % || stabil || </v>
      </c>
      <c r="N225" t="str">
        <f>CONCATENATE(I225,"&lt;br&gt;"," |-")</f>
        <v xml:space="preserve"> | [http://atom.kaeri.re.kr/cgi-bin/nuclide?nuc=Rh-103 &lt;sub&gt;103&lt;/sub&gt;Rh] || 100 % || stabil || &lt;br&gt; |-</v>
      </c>
    </row>
    <row r="226" spans="1:14" ht="15.95" customHeight="1">
      <c r="A226">
        <v>45</v>
      </c>
      <c r="B226" s="23" t="s">
        <v>96</v>
      </c>
      <c r="C226">
        <v>999</v>
      </c>
      <c r="D226" t="s">
        <v>97</v>
      </c>
      <c r="E226" t="s">
        <v>981</v>
      </c>
      <c r="N226" t="str">
        <f>CONCATENATE(" |}&lt;br&gt;* [http://atom.kaeri.re.kr/cgi-bin/nuclide?nuc=",B226," alle bekannten ",D226,"-Isotope]")</f>
        <v xml:space="preserve"> |}&lt;br&gt;* [http://atom.kaeri.re.kr/cgi-bin/nuclide?nuc=Rh alle bekannten Rhodium-Isotope]</v>
      </c>
    </row>
    <row r="227" spans="1:14" ht="15.95" customHeight="1">
      <c r="A227">
        <v>46</v>
      </c>
      <c r="B227" s="23" t="s">
        <v>99</v>
      </c>
      <c r="C227" s="17">
        <v>0</v>
      </c>
      <c r="D227" t="s">
        <v>100</v>
      </c>
      <c r="E227" t="s">
        <v>981</v>
      </c>
      <c r="N227" t="str">
        <f>CONCATENATE("=== [[",D227,"]] ===&lt;br&gt;{| {{tabelle}}&lt;br&gt;! Isotop !! ",$D$1," !! [[",$E$1,"]] !! ",$F$1," &lt;br&gt; |-")</f>
        <v>=== [[Palladium]] ===&lt;br&gt;{| {{tabelle}}&lt;br&gt;! Isotop !! natürliche Häufigkeit !! [[Halbwertszeit]] !! Herkunft, techn. Bedeutung &lt;br&gt; |-</v>
      </c>
    </row>
    <row r="228" spans="1:14" ht="15.95" customHeight="1">
      <c r="A228" s="17">
        <v>46</v>
      </c>
      <c r="B228" s="21" t="s">
        <v>99</v>
      </c>
      <c r="C228" s="17">
        <v>102</v>
      </c>
      <c r="D228" s="17">
        <v>1.02</v>
      </c>
      <c r="E228" t="s">
        <v>981</v>
      </c>
      <c r="G228" t="str">
        <f t="shared" ref="G228:G233" si="20">CONCATENATE("[","http://atom.kaeri.re.kr/cgi-bin/nuclide?nuc=",B228,"-",C228," &lt;sub&gt;",C228,"&lt;/sub&gt;",B228,"]")</f>
        <v>[http://atom.kaeri.re.kr/cgi-bin/nuclide?nuc=Pd-102 &lt;sub&gt;102&lt;/sub&gt;Pd]</v>
      </c>
      <c r="H228" t="str">
        <f t="shared" ref="H228:H233" si="21">CONCATENATE(D228," % || ",E228)</f>
        <v>1,02 % || stabil</v>
      </c>
      <c r="I228" t="str">
        <f t="shared" ref="I228:I233" si="22">CONCATENATE(" | ",G228," || ",H228," || ",F228)</f>
        <v xml:space="preserve"> | [http://atom.kaeri.re.kr/cgi-bin/nuclide?nuc=Pd-102 &lt;sub&gt;102&lt;/sub&gt;Pd] || 1,02 % || stabil || </v>
      </c>
      <c r="N228" t="str">
        <f t="shared" ref="N228:N233" si="23">CONCATENATE(I228,"&lt;br&gt;"," |-")</f>
        <v xml:space="preserve"> | [http://atom.kaeri.re.kr/cgi-bin/nuclide?nuc=Pd-102 &lt;sub&gt;102&lt;/sub&gt;Pd] || 1,02 % || stabil || &lt;br&gt; |-</v>
      </c>
    </row>
    <row r="229" spans="1:14" ht="15.95" customHeight="1">
      <c r="A229" s="17">
        <v>46</v>
      </c>
      <c r="B229" s="21" t="s">
        <v>99</v>
      </c>
      <c r="C229" s="17">
        <v>104</v>
      </c>
      <c r="D229" s="17">
        <v>11.14</v>
      </c>
      <c r="E229" t="s">
        <v>981</v>
      </c>
      <c r="G229" t="str">
        <f t="shared" si="20"/>
        <v>[http://atom.kaeri.re.kr/cgi-bin/nuclide?nuc=Pd-104 &lt;sub&gt;104&lt;/sub&gt;Pd]</v>
      </c>
      <c r="H229" t="str">
        <f t="shared" si="21"/>
        <v>11,14 % || stabil</v>
      </c>
      <c r="I229" t="str">
        <f t="shared" si="22"/>
        <v xml:space="preserve"> | [http://atom.kaeri.re.kr/cgi-bin/nuclide?nuc=Pd-104 &lt;sub&gt;104&lt;/sub&gt;Pd] || 11,14 % || stabil || </v>
      </c>
      <c r="N229" t="str">
        <f t="shared" si="23"/>
        <v xml:space="preserve"> | [http://atom.kaeri.re.kr/cgi-bin/nuclide?nuc=Pd-104 &lt;sub&gt;104&lt;/sub&gt;Pd] || 11,14 % || stabil || &lt;br&gt; |-</v>
      </c>
    </row>
    <row r="230" spans="1:14" ht="15.95" customHeight="1">
      <c r="A230" s="17">
        <v>46</v>
      </c>
      <c r="B230" s="21" t="s">
        <v>99</v>
      </c>
      <c r="C230" s="17">
        <v>105</v>
      </c>
      <c r="D230" s="17">
        <v>22.33</v>
      </c>
      <c r="E230" t="s">
        <v>981</v>
      </c>
      <c r="G230" t="str">
        <f t="shared" si="20"/>
        <v>[http://atom.kaeri.re.kr/cgi-bin/nuclide?nuc=Pd-105 &lt;sub&gt;105&lt;/sub&gt;Pd]</v>
      </c>
      <c r="H230" t="str">
        <f t="shared" si="21"/>
        <v>22,33 % || stabil</v>
      </c>
      <c r="I230" t="str">
        <f t="shared" si="22"/>
        <v xml:space="preserve"> | [http://atom.kaeri.re.kr/cgi-bin/nuclide?nuc=Pd-105 &lt;sub&gt;105&lt;/sub&gt;Pd] || 22,33 % || stabil || </v>
      </c>
      <c r="N230" t="str">
        <f t="shared" si="23"/>
        <v xml:space="preserve"> | [http://atom.kaeri.re.kr/cgi-bin/nuclide?nuc=Pd-105 &lt;sub&gt;105&lt;/sub&gt;Pd] || 22,33 % || stabil || &lt;br&gt; |-</v>
      </c>
    </row>
    <row r="231" spans="1:14" ht="15.95" customHeight="1">
      <c r="A231" s="17">
        <v>46</v>
      </c>
      <c r="B231" s="21" t="s">
        <v>99</v>
      </c>
      <c r="C231" s="17">
        <v>106</v>
      </c>
      <c r="D231" s="17">
        <v>27.33</v>
      </c>
      <c r="E231" t="s">
        <v>981</v>
      </c>
      <c r="G231" t="str">
        <f t="shared" si="20"/>
        <v>[http://atom.kaeri.re.kr/cgi-bin/nuclide?nuc=Pd-106 &lt;sub&gt;106&lt;/sub&gt;Pd]</v>
      </c>
      <c r="H231" t="str">
        <f t="shared" si="21"/>
        <v>27,33 % || stabil</v>
      </c>
      <c r="I231" t="str">
        <f t="shared" si="22"/>
        <v xml:space="preserve"> | [http://atom.kaeri.re.kr/cgi-bin/nuclide?nuc=Pd-106 &lt;sub&gt;106&lt;/sub&gt;Pd] || 27,33 % || stabil || </v>
      </c>
      <c r="N231" t="str">
        <f t="shared" si="23"/>
        <v xml:space="preserve"> | [http://atom.kaeri.re.kr/cgi-bin/nuclide?nuc=Pd-106 &lt;sub&gt;106&lt;/sub&gt;Pd] || 27,33 % || stabil || &lt;br&gt; |-</v>
      </c>
    </row>
    <row r="232" spans="1:14" ht="15.95" customHeight="1">
      <c r="A232" s="17">
        <v>46</v>
      </c>
      <c r="B232" s="21" t="s">
        <v>99</v>
      </c>
      <c r="C232" s="17">
        <v>108</v>
      </c>
      <c r="D232" s="17">
        <v>26.46</v>
      </c>
      <c r="E232" t="s">
        <v>981</v>
      </c>
      <c r="G232" t="str">
        <f t="shared" si="20"/>
        <v>[http://atom.kaeri.re.kr/cgi-bin/nuclide?nuc=Pd-108 &lt;sub&gt;108&lt;/sub&gt;Pd]</v>
      </c>
      <c r="H232" t="str">
        <f t="shared" si="21"/>
        <v>26,46 % || stabil</v>
      </c>
      <c r="I232" t="str">
        <f t="shared" si="22"/>
        <v xml:space="preserve"> | [http://atom.kaeri.re.kr/cgi-bin/nuclide?nuc=Pd-108 &lt;sub&gt;108&lt;/sub&gt;Pd] || 26,46 % || stabil || </v>
      </c>
      <c r="N232" t="str">
        <f t="shared" si="23"/>
        <v xml:space="preserve"> | [http://atom.kaeri.re.kr/cgi-bin/nuclide?nuc=Pd-108 &lt;sub&gt;108&lt;/sub&gt;Pd] || 26,46 % || stabil || &lt;br&gt; |-</v>
      </c>
    </row>
    <row r="233" spans="1:14" ht="15.95" customHeight="1">
      <c r="A233" s="17">
        <v>46</v>
      </c>
      <c r="B233" s="21" t="s">
        <v>99</v>
      </c>
      <c r="C233" s="17">
        <v>110</v>
      </c>
      <c r="D233" s="17">
        <v>11.72</v>
      </c>
      <c r="E233" t="s">
        <v>981</v>
      </c>
      <c r="G233" t="str">
        <f t="shared" si="20"/>
        <v>[http://atom.kaeri.re.kr/cgi-bin/nuclide?nuc=Pd-110 &lt;sub&gt;110&lt;/sub&gt;Pd]</v>
      </c>
      <c r="H233" t="str">
        <f t="shared" si="21"/>
        <v>11,72 % || stabil</v>
      </c>
      <c r="I233" t="str">
        <f t="shared" si="22"/>
        <v xml:space="preserve"> | [http://atom.kaeri.re.kr/cgi-bin/nuclide?nuc=Pd-110 &lt;sub&gt;110&lt;/sub&gt;Pd] || 11,72 % || stabil || </v>
      </c>
      <c r="N233" t="str">
        <f t="shared" si="23"/>
        <v xml:space="preserve"> | [http://atom.kaeri.re.kr/cgi-bin/nuclide?nuc=Pd-110 &lt;sub&gt;110&lt;/sub&gt;Pd] || 11,72 % || stabil || &lt;br&gt; |-</v>
      </c>
    </row>
    <row r="234" spans="1:14" ht="15.95" customHeight="1">
      <c r="A234">
        <v>46</v>
      </c>
      <c r="B234" s="23" t="s">
        <v>99</v>
      </c>
      <c r="C234">
        <v>999</v>
      </c>
      <c r="D234" t="s">
        <v>100</v>
      </c>
      <c r="E234" t="s">
        <v>981</v>
      </c>
      <c r="N234" t="str">
        <f>CONCATENATE(" |}&lt;br&gt;* [http://atom.kaeri.re.kr/cgi-bin/nuclide?nuc=",B234," alle bekannten ",D234,"-Isotope]")</f>
        <v xml:space="preserve"> |}&lt;br&gt;* [http://atom.kaeri.re.kr/cgi-bin/nuclide?nuc=Pd alle bekannten Palladium-Isotope]</v>
      </c>
    </row>
    <row r="235" spans="1:14" ht="15.95" customHeight="1">
      <c r="A235">
        <v>47</v>
      </c>
      <c r="B235" s="23" t="s">
        <v>102</v>
      </c>
      <c r="C235" s="17">
        <v>0</v>
      </c>
      <c r="D235" t="s">
        <v>103</v>
      </c>
      <c r="E235" t="s">
        <v>981</v>
      </c>
      <c r="N235" t="str">
        <f>CONCATENATE("=== [[",D235,"]] ===&lt;br&gt;{| {{tabelle}}&lt;br&gt;! Isotop !! ",$D$1," !! [[",$E$1,"]] !! ",$F$1," &lt;br&gt; |-")</f>
        <v>=== [[Silber]] ===&lt;br&gt;{| {{tabelle}}&lt;br&gt;! Isotop !! natürliche Häufigkeit !! [[Halbwertszeit]] !! Herkunft, techn. Bedeutung &lt;br&gt; |-</v>
      </c>
    </row>
    <row r="236" spans="1:14" ht="15.95" customHeight="1">
      <c r="A236" s="17">
        <v>47</v>
      </c>
      <c r="B236" s="21" t="s">
        <v>102</v>
      </c>
      <c r="C236" s="17">
        <v>107</v>
      </c>
      <c r="D236" s="17">
        <v>51.838999999999999</v>
      </c>
      <c r="E236" t="s">
        <v>981</v>
      </c>
      <c r="G236" t="str">
        <f>CONCATENATE("[","http://atom.kaeri.re.kr/cgi-bin/nuclide?nuc=",B236,"-",C236," &lt;sub&gt;",C236,"&lt;/sub&gt;",B236,"]")</f>
        <v>[http://atom.kaeri.re.kr/cgi-bin/nuclide?nuc=Ag-107 &lt;sub&gt;107&lt;/sub&gt;Ag]</v>
      </c>
      <c r="H236" t="str">
        <f>CONCATENATE(D236," % || ",E236)</f>
        <v>51,839 % || stabil</v>
      </c>
      <c r="I236" t="str">
        <f>CONCATENATE(" | ",G236," || ",H236," || ",F236)</f>
        <v xml:space="preserve"> | [http://atom.kaeri.re.kr/cgi-bin/nuclide?nuc=Ag-107 &lt;sub&gt;107&lt;/sub&gt;Ag] || 51,839 % || stabil || </v>
      </c>
      <c r="N236" t="str">
        <f>CONCATENATE(I236,"&lt;br&gt;"," |-")</f>
        <v xml:space="preserve"> | [http://atom.kaeri.re.kr/cgi-bin/nuclide?nuc=Ag-107 &lt;sub&gt;107&lt;/sub&gt;Ag] || 51,839 % || stabil || &lt;br&gt; |-</v>
      </c>
    </row>
    <row r="237" spans="1:14" ht="15.95" customHeight="1">
      <c r="A237" s="17">
        <v>47</v>
      </c>
      <c r="B237" s="21" t="s">
        <v>102</v>
      </c>
      <c r="C237" s="17">
        <v>109</v>
      </c>
      <c r="D237" s="17">
        <v>48.161000000000001</v>
      </c>
      <c r="E237" t="s">
        <v>981</v>
      </c>
      <c r="G237" t="str">
        <f>CONCATENATE("[","http://atom.kaeri.re.kr/cgi-bin/nuclide?nuc=",B237,"-",C237," &lt;sub&gt;",C237,"&lt;/sub&gt;",B237,"]")</f>
        <v>[http://atom.kaeri.re.kr/cgi-bin/nuclide?nuc=Ag-109 &lt;sub&gt;109&lt;/sub&gt;Ag]</v>
      </c>
      <c r="H237" t="str">
        <f>CONCATENATE(D237," % || ",E237)</f>
        <v>48,161 % || stabil</v>
      </c>
      <c r="I237" t="str">
        <f>CONCATENATE(" | ",G237," || ",H237," || ",F237)</f>
        <v xml:space="preserve"> | [http://atom.kaeri.re.kr/cgi-bin/nuclide?nuc=Ag-109 &lt;sub&gt;109&lt;/sub&gt;Ag] || 48,161 % || stabil || </v>
      </c>
      <c r="N237" t="str">
        <f>CONCATENATE(I237,"&lt;br&gt;"," |-")</f>
        <v xml:space="preserve"> | [http://atom.kaeri.re.kr/cgi-bin/nuclide?nuc=Ag-109 &lt;sub&gt;109&lt;/sub&gt;Ag] || 48,161 % || stabil || &lt;br&gt; |-</v>
      </c>
    </row>
    <row r="238" spans="1:14" ht="15.95" customHeight="1">
      <c r="A238">
        <v>47</v>
      </c>
      <c r="B238" s="23" t="s">
        <v>102</v>
      </c>
      <c r="C238">
        <v>999</v>
      </c>
      <c r="D238" t="s">
        <v>103</v>
      </c>
      <c r="E238" t="s">
        <v>981</v>
      </c>
      <c r="N238" t="str">
        <f>CONCATENATE(" |}&lt;br&gt;* [http://atom.kaeri.re.kr/cgi-bin/nuclide?nuc=",B238," alle bekannten ",D238,"-Isotope]")</f>
        <v xml:space="preserve"> |}&lt;br&gt;* [http://atom.kaeri.re.kr/cgi-bin/nuclide?nuc=Ag alle bekannten Silber-Isotope]</v>
      </c>
    </row>
    <row r="239" spans="1:14" ht="15.95" customHeight="1">
      <c r="A239">
        <v>48</v>
      </c>
      <c r="B239" s="23" t="s">
        <v>105</v>
      </c>
      <c r="C239" s="17">
        <v>0</v>
      </c>
      <c r="D239" t="s">
        <v>106</v>
      </c>
      <c r="E239" t="s">
        <v>981</v>
      </c>
      <c r="N239" t="str">
        <f>CONCATENATE("=== [[",D239,"]] ===&lt;br&gt;{| {{tabelle}}&lt;br&gt;! Isotop !! ",$D$1," !! [[",$E$1,"]] !! ",$F$1," &lt;br&gt; |-")</f>
        <v>=== [[Cadmium]] ===&lt;br&gt;{| {{tabelle}}&lt;br&gt;! Isotop !! natürliche Häufigkeit !! [[Halbwertszeit]] !! Herkunft, techn. Bedeutung &lt;br&gt; |-</v>
      </c>
    </row>
    <row r="240" spans="1:14" ht="15.95" customHeight="1">
      <c r="A240" s="17">
        <v>48</v>
      </c>
      <c r="B240" s="21" t="s">
        <v>105</v>
      </c>
      <c r="C240" s="17">
        <v>106</v>
      </c>
      <c r="D240" s="17">
        <v>1.25</v>
      </c>
      <c r="E240" t="s">
        <v>981</v>
      </c>
      <c r="G240" t="str">
        <f t="shared" ref="G240:G247" si="24">CONCATENATE("[","http://atom.kaeri.re.kr/cgi-bin/nuclide?nuc=",B240,"-",C240," &lt;sub&gt;",C240,"&lt;/sub&gt;",B240,"]")</f>
        <v>[http://atom.kaeri.re.kr/cgi-bin/nuclide?nuc=Cd-106 &lt;sub&gt;106&lt;/sub&gt;Cd]</v>
      </c>
      <c r="H240" t="str">
        <f t="shared" ref="H240:H247" si="25">CONCATENATE(D240," % || ",E240)</f>
        <v>1,25 % || stabil</v>
      </c>
      <c r="I240" t="str">
        <f t="shared" ref="I240:I247" si="26">CONCATENATE(" | ",G240," || ",H240," || ",F240)</f>
        <v xml:space="preserve"> | [http://atom.kaeri.re.kr/cgi-bin/nuclide?nuc=Cd-106 &lt;sub&gt;106&lt;/sub&gt;Cd] || 1,25 % || stabil || </v>
      </c>
      <c r="N240" t="str">
        <f t="shared" ref="N240:N247" si="27">CONCATENATE(I240,"&lt;br&gt;"," |-")</f>
        <v xml:space="preserve"> | [http://atom.kaeri.re.kr/cgi-bin/nuclide?nuc=Cd-106 &lt;sub&gt;106&lt;/sub&gt;Cd] || 1,25 % || stabil || &lt;br&gt; |-</v>
      </c>
    </row>
    <row r="241" spans="1:14" ht="15.95" customHeight="1">
      <c r="A241" s="17">
        <v>48</v>
      </c>
      <c r="B241" s="21" t="s">
        <v>105</v>
      </c>
      <c r="C241" s="17">
        <v>108</v>
      </c>
      <c r="D241" s="17">
        <v>0.89</v>
      </c>
      <c r="E241" t="s">
        <v>981</v>
      </c>
      <c r="G241" t="str">
        <f t="shared" si="24"/>
        <v>[http://atom.kaeri.re.kr/cgi-bin/nuclide?nuc=Cd-108 &lt;sub&gt;108&lt;/sub&gt;Cd]</v>
      </c>
      <c r="H241" t="str">
        <f t="shared" si="25"/>
        <v>0,89 % || stabil</v>
      </c>
      <c r="I241" t="str">
        <f t="shared" si="26"/>
        <v xml:space="preserve"> | [http://atom.kaeri.re.kr/cgi-bin/nuclide?nuc=Cd-108 &lt;sub&gt;108&lt;/sub&gt;Cd] || 0,89 % || stabil || </v>
      </c>
      <c r="N241" t="str">
        <f t="shared" si="27"/>
        <v xml:space="preserve"> | [http://atom.kaeri.re.kr/cgi-bin/nuclide?nuc=Cd-108 &lt;sub&gt;108&lt;/sub&gt;Cd] || 0,89 % || stabil || &lt;br&gt; |-</v>
      </c>
    </row>
    <row r="242" spans="1:14" ht="15.95" customHeight="1">
      <c r="A242" s="17">
        <v>48</v>
      </c>
      <c r="B242" s="21" t="s">
        <v>105</v>
      </c>
      <c r="C242" s="17">
        <v>110</v>
      </c>
      <c r="D242" s="17">
        <v>12.49</v>
      </c>
      <c r="E242" t="s">
        <v>981</v>
      </c>
      <c r="G242" t="str">
        <f t="shared" si="24"/>
        <v>[http://atom.kaeri.re.kr/cgi-bin/nuclide?nuc=Cd-110 &lt;sub&gt;110&lt;/sub&gt;Cd]</v>
      </c>
      <c r="H242" t="str">
        <f t="shared" si="25"/>
        <v>12,49 % || stabil</v>
      </c>
      <c r="I242" t="str">
        <f t="shared" si="26"/>
        <v xml:space="preserve"> | [http://atom.kaeri.re.kr/cgi-bin/nuclide?nuc=Cd-110 &lt;sub&gt;110&lt;/sub&gt;Cd] || 12,49 % || stabil || </v>
      </c>
      <c r="N242" t="str">
        <f t="shared" si="27"/>
        <v xml:space="preserve"> | [http://atom.kaeri.re.kr/cgi-bin/nuclide?nuc=Cd-110 &lt;sub&gt;110&lt;/sub&gt;Cd] || 12,49 % || stabil || &lt;br&gt; |-</v>
      </c>
    </row>
    <row r="243" spans="1:14" ht="15.95" customHeight="1">
      <c r="A243" s="17">
        <v>48</v>
      </c>
      <c r="B243" s="21" t="s">
        <v>105</v>
      </c>
      <c r="C243" s="17">
        <v>111</v>
      </c>
      <c r="D243" s="17">
        <v>12.8</v>
      </c>
      <c r="E243" t="s">
        <v>981</v>
      </c>
      <c r="G243" t="str">
        <f t="shared" si="24"/>
        <v>[http://atom.kaeri.re.kr/cgi-bin/nuclide?nuc=Cd-111 &lt;sub&gt;111&lt;/sub&gt;Cd]</v>
      </c>
      <c r="H243" t="str">
        <f t="shared" si="25"/>
        <v>12,8 % || stabil</v>
      </c>
      <c r="I243" t="str">
        <f t="shared" si="26"/>
        <v xml:space="preserve"> | [http://atom.kaeri.re.kr/cgi-bin/nuclide?nuc=Cd-111 &lt;sub&gt;111&lt;/sub&gt;Cd] || 12,8 % || stabil || </v>
      </c>
      <c r="N243" t="str">
        <f t="shared" si="27"/>
        <v xml:space="preserve"> | [http://atom.kaeri.re.kr/cgi-bin/nuclide?nuc=Cd-111 &lt;sub&gt;111&lt;/sub&gt;Cd] || 12,8 % || stabil || &lt;br&gt; |-</v>
      </c>
    </row>
    <row r="244" spans="1:14" ht="15.95" customHeight="1">
      <c r="A244" s="17">
        <v>48</v>
      </c>
      <c r="B244" s="21" t="s">
        <v>105</v>
      </c>
      <c r="C244" s="17">
        <v>112</v>
      </c>
      <c r="D244" s="17">
        <v>24.13</v>
      </c>
      <c r="E244" t="s">
        <v>981</v>
      </c>
      <c r="G244" t="str">
        <f t="shared" si="24"/>
        <v>[http://atom.kaeri.re.kr/cgi-bin/nuclide?nuc=Cd-112 &lt;sub&gt;112&lt;/sub&gt;Cd]</v>
      </c>
      <c r="H244" t="str">
        <f t="shared" si="25"/>
        <v>24,13 % || stabil</v>
      </c>
      <c r="I244" t="str">
        <f t="shared" si="26"/>
        <v xml:space="preserve"> | [http://atom.kaeri.re.kr/cgi-bin/nuclide?nuc=Cd-112 &lt;sub&gt;112&lt;/sub&gt;Cd] || 24,13 % || stabil || </v>
      </c>
      <c r="N244" t="str">
        <f t="shared" si="27"/>
        <v xml:space="preserve"> | [http://atom.kaeri.re.kr/cgi-bin/nuclide?nuc=Cd-112 &lt;sub&gt;112&lt;/sub&gt;Cd] || 24,13 % || stabil || &lt;br&gt; |-</v>
      </c>
    </row>
    <row r="245" spans="1:14" ht="15.95" customHeight="1">
      <c r="A245" s="17">
        <v>48</v>
      </c>
      <c r="B245" s="21" t="s">
        <v>105</v>
      </c>
      <c r="C245" s="17">
        <v>113</v>
      </c>
      <c r="D245" s="17">
        <v>12.22</v>
      </c>
      <c r="E245" t="s">
        <v>981</v>
      </c>
      <c r="G245" t="str">
        <f t="shared" si="24"/>
        <v>[http://atom.kaeri.re.kr/cgi-bin/nuclide?nuc=Cd-113 &lt;sub&gt;113&lt;/sub&gt;Cd]</v>
      </c>
      <c r="H245" t="str">
        <f t="shared" si="25"/>
        <v>12,22 % || stabil</v>
      </c>
      <c r="I245" t="str">
        <f t="shared" si="26"/>
        <v xml:space="preserve"> | [http://atom.kaeri.re.kr/cgi-bin/nuclide?nuc=Cd-113 &lt;sub&gt;113&lt;/sub&gt;Cd] || 12,22 % || stabil || </v>
      </c>
      <c r="N245" t="str">
        <f t="shared" si="27"/>
        <v xml:space="preserve"> | [http://atom.kaeri.re.kr/cgi-bin/nuclide?nuc=Cd-113 &lt;sub&gt;113&lt;/sub&gt;Cd] || 12,22 % || stabil || &lt;br&gt; |-</v>
      </c>
    </row>
    <row r="246" spans="1:14" ht="15.95" customHeight="1">
      <c r="A246" s="17">
        <v>48</v>
      </c>
      <c r="B246" s="21" t="s">
        <v>105</v>
      </c>
      <c r="C246" s="17">
        <v>114</v>
      </c>
      <c r="D246" s="17">
        <v>28.73</v>
      </c>
      <c r="E246" t="s">
        <v>981</v>
      </c>
      <c r="G246" t="str">
        <f t="shared" si="24"/>
        <v>[http://atom.kaeri.re.kr/cgi-bin/nuclide?nuc=Cd-114 &lt;sub&gt;114&lt;/sub&gt;Cd]</v>
      </c>
      <c r="H246" t="str">
        <f t="shared" si="25"/>
        <v>28,73 % || stabil</v>
      </c>
      <c r="I246" t="str">
        <f t="shared" si="26"/>
        <v xml:space="preserve"> | [http://atom.kaeri.re.kr/cgi-bin/nuclide?nuc=Cd-114 &lt;sub&gt;114&lt;/sub&gt;Cd] || 28,73 % || stabil || </v>
      </c>
      <c r="N246" t="str">
        <f t="shared" si="27"/>
        <v xml:space="preserve"> | [http://atom.kaeri.re.kr/cgi-bin/nuclide?nuc=Cd-114 &lt;sub&gt;114&lt;/sub&gt;Cd] || 28,73 % || stabil || &lt;br&gt; |-</v>
      </c>
    </row>
    <row r="247" spans="1:14" ht="15.95" customHeight="1">
      <c r="A247" s="17">
        <v>48</v>
      </c>
      <c r="B247" s="21" t="s">
        <v>105</v>
      </c>
      <c r="C247" s="17">
        <v>116</v>
      </c>
      <c r="D247" s="17">
        <v>7.49</v>
      </c>
      <c r="E247" t="s">
        <v>981</v>
      </c>
      <c r="G247" t="str">
        <f t="shared" si="24"/>
        <v>[http://atom.kaeri.re.kr/cgi-bin/nuclide?nuc=Cd-116 &lt;sub&gt;116&lt;/sub&gt;Cd]</v>
      </c>
      <c r="H247" t="str">
        <f t="shared" si="25"/>
        <v>7,49 % || stabil</v>
      </c>
      <c r="I247" t="str">
        <f t="shared" si="26"/>
        <v xml:space="preserve"> | [http://atom.kaeri.re.kr/cgi-bin/nuclide?nuc=Cd-116 &lt;sub&gt;116&lt;/sub&gt;Cd] || 7,49 % || stabil || </v>
      </c>
      <c r="N247" t="str">
        <f t="shared" si="27"/>
        <v xml:space="preserve"> | [http://atom.kaeri.re.kr/cgi-bin/nuclide?nuc=Cd-116 &lt;sub&gt;116&lt;/sub&gt;Cd] || 7,49 % || stabil || &lt;br&gt; |-</v>
      </c>
    </row>
    <row r="248" spans="1:14" ht="15.95" customHeight="1">
      <c r="A248">
        <v>48</v>
      </c>
      <c r="B248" s="23" t="s">
        <v>105</v>
      </c>
      <c r="C248">
        <v>999</v>
      </c>
      <c r="D248" t="s">
        <v>106</v>
      </c>
      <c r="E248" t="s">
        <v>981</v>
      </c>
      <c r="N248" t="str">
        <f>CONCATENATE(" |}&lt;br&gt;* [http://atom.kaeri.re.kr/cgi-bin/nuclide?nuc=",B248," alle bekannten ",D248,"-Isotope]")</f>
        <v xml:space="preserve"> |}&lt;br&gt;* [http://atom.kaeri.re.kr/cgi-bin/nuclide?nuc=Cd alle bekannten Cadmium-Isotope]</v>
      </c>
    </row>
    <row r="249" spans="1:14" ht="15.95" customHeight="1">
      <c r="A249">
        <v>49</v>
      </c>
      <c r="B249" s="23" t="s">
        <v>107</v>
      </c>
      <c r="C249" s="17">
        <v>0</v>
      </c>
      <c r="D249" t="s">
        <v>108</v>
      </c>
      <c r="E249" t="s">
        <v>981</v>
      </c>
      <c r="N249" t="str">
        <f>CONCATENATE("=== [[",D249,"]] ===&lt;br&gt;{| {{tabelle}}&lt;br&gt;! Isotop !! ",$D$1," !! [[",$E$1,"]] !! ",$F$1," &lt;br&gt; |-")</f>
        <v>=== [[Indium]] ===&lt;br&gt;{| {{tabelle}}&lt;br&gt;! Isotop !! natürliche Häufigkeit !! [[Halbwertszeit]] !! Herkunft, techn. Bedeutung &lt;br&gt; |-</v>
      </c>
    </row>
    <row r="250" spans="1:14" ht="15.95" customHeight="1">
      <c r="A250" s="17">
        <v>49</v>
      </c>
      <c r="B250" s="21" t="s">
        <v>107</v>
      </c>
      <c r="C250" s="17">
        <v>113</v>
      </c>
      <c r="D250" s="17">
        <v>4.29</v>
      </c>
      <c r="E250" t="s">
        <v>981</v>
      </c>
      <c r="G250" t="str">
        <f>CONCATENATE("[","http://atom.kaeri.re.kr/cgi-bin/nuclide?nuc=",B250,"-",C250," &lt;sub&gt;",C250,"&lt;/sub&gt;",B250,"]")</f>
        <v>[http://atom.kaeri.re.kr/cgi-bin/nuclide?nuc=In-113 &lt;sub&gt;113&lt;/sub&gt;In]</v>
      </c>
      <c r="H250" t="str">
        <f>CONCATENATE(D250," % || ",E250)</f>
        <v>4,29 % || stabil</v>
      </c>
      <c r="I250" t="str">
        <f>CONCATENATE(" | ",G250," || ",H250," || ",F250)</f>
        <v xml:space="preserve"> | [http://atom.kaeri.re.kr/cgi-bin/nuclide?nuc=In-113 &lt;sub&gt;113&lt;/sub&gt;In] || 4,29 % || stabil || </v>
      </c>
      <c r="N250" t="str">
        <f>CONCATENATE(I250,"&lt;br&gt;"," |-")</f>
        <v xml:space="preserve"> | [http://atom.kaeri.re.kr/cgi-bin/nuclide?nuc=In-113 &lt;sub&gt;113&lt;/sub&gt;In] || 4,29 % || stabil || &lt;br&gt; |-</v>
      </c>
    </row>
    <row r="251" spans="1:14" ht="15.95" customHeight="1">
      <c r="A251" s="17">
        <v>49</v>
      </c>
      <c r="B251" s="21" t="s">
        <v>107</v>
      </c>
      <c r="C251" s="17">
        <v>115</v>
      </c>
      <c r="D251" s="17">
        <v>95.71</v>
      </c>
      <c r="E251" t="s">
        <v>981</v>
      </c>
      <c r="G251" t="str">
        <f>CONCATENATE("[","http://atom.kaeri.re.kr/cgi-bin/nuclide?nuc=",B251,"-",C251," &lt;sub&gt;",C251,"&lt;/sub&gt;",B251,"]")</f>
        <v>[http://atom.kaeri.re.kr/cgi-bin/nuclide?nuc=In-115 &lt;sub&gt;115&lt;/sub&gt;In]</v>
      </c>
      <c r="H251" t="str">
        <f>CONCATENATE(D251," % || ",E251)</f>
        <v>95,71 % || stabil</v>
      </c>
      <c r="I251" t="str">
        <f>CONCATENATE(" | ",G251," || ",H251," || ",F251)</f>
        <v xml:space="preserve"> | [http://atom.kaeri.re.kr/cgi-bin/nuclide?nuc=In-115 &lt;sub&gt;115&lt;/sub&gt;In] || 95,71 % || stabil || </v>
      </c>
      <c r="N251" t="str">
        <f>CONCATENATE(I251,"&lt;br&gt;"," |-")</f>
        <v xml:space="preserve"> | [http://atom.kaeri.re.kr/cgi-bin/nuclide?nuc=In-115 &lt;sub&gt;115&lt;/sub&gt;In] || 95,71 % || stabil || &lt;br&gt; |-</v>
      </c>
    </row>
    <row r="252" spans="1:14" ht="15.95" customHeight="1">
      <c r="A252">
        <v>49</v>
      </c>
      <c r="B252" s="23" t="s">
        <v>107</v>
      </c>
      <c r="C252">
        <v>999</v>
      </c>
      <c r="D252" t="s">
        <v>108</v>
      </c>
      <c r="E252" t="s">
        <v>981</v>
      </c>
      <c r="N252" t="str">
        <f>CONCATENATE(" |}&lt;br&gt;* [http://atom.kaeri.re.kr/cgi-bin/nuclide?nuc=",B252," alle bekannten ",D252,"-Isotope]")</f>
        <v xml:space="preserve"> |}&lt;br&gt;* [http://atom.kaeri.re.kr/cgi-bin/nuclide?nuc=In alle bekannten Indium-Isotope]</v>
      </c>
    </row>
    <row r="253" spans="1:14" ht="15.95" customHeight="1">
      <c r="A253">
        <v>50</v>
      </c>
      <c r="B253" s="23" t="s">
        <v>111</v>
      </c>
      <c r="C253" s="17">
        <v>0</v>
      </c>
      <c r="D253" t="s">
        <v>112</v>
      </c>
      <c r="E253" t="s">
        <v>981</v>
      </c>
      <c r="N253" t="str">
        <f>CONCATENATE("=== [[",D253,"]] ===&lt;br&gt;{| {{tabelle}}&lt;br&gt;! Isotop !! ",$D$1," !! [[",$E$1,"]] !! ",$F$1," &lt;br&gt; |-")</f>
        <v>=== [[Zinn]] ===&lt;br&gt;{| {{tabelle}}&lt;br&gt;! Isotop !! natürliche Häufigkeit !! [[Halbwertszeit]] !! Herkunft, techn. Bedeutung &lt;br&gt; |-</v>
      </c>
    </row>
    <row r="254" spans="1:14" ht="15.95" customHeight="1">
      <c r="A254" s="17">
        <v>50</v>
      </c>
      <c r="B254" s="21" t="s">
        <v>111</v>
      </c>
      <c r="C254" s="17">
        <v>112</v>
      </c>
      <c r="D254" s="17">
        <v>0.97</v>
      </c>
      <c r="E254" t="s">
        <v>981</v>
      </c>
      <c r="G254" t="str">
        <f t="shared" ref="G254:G263" si="28">CONCATENATE("[","http://atom.kaeri.re.kr/cgi-bin/nuclide?nuc=",B254,"-",C254," &lt;sub&gt;",C254,"&lt;/sub&gt;",B254,"]")</f>
        <v>[http://atom.kaeri.re.kr/cgi-bin/nuclide?nuc=Sn-112 &lt;sub&gt;112&lt;/sub&gt;Sn]</v>
      </c>
      <c r="H254" t="str">
        <f t="shared" ref="H254:H263" si="29">CONCATENATE(D254," % || ",E254)</f>
        <v>0,97 % || stabil</v>
      </c>
      <c r="I254" t="str">
        <f t="shared" ref="I254:I263" si="30">CONCATENATE(" | ",G254," || ",H254," || ",F254)</f>
        <v xml:space="preserve"> | [http://atom.kaeri.re.kr/cgi-bin/nuclide?nuc=Sn-112 &lt;sub&gt;112&lt;/sub&gt;Sn] || 0,97 % || stabil || </v>
      </c>
      <c r="N254" t="str">
        <f t="shared" ref="N254:N263" si="31">CONCATENATE(I254,"&lt;br&gt;"," |-")</f>
        <v xml:space="preserve"> | [http://atom.kaeri.re.kr/cgi-bin/nuclide?nuc=Sn-112 &lt;sub&gt;112&lt;/sub&gt;Sn] || 0,97 % || stabil || &lt;br&gt; |-</v>
      </c>
    </row>
    <row r="255" spans="1:14" ht="15.95" customHeight="1">
      <c r="A255" s="17">
        <v>50</v>
      </c>
      <c r="B255" s="21" t="s">
        <v>111</v>
      </c>
      <c r="C255" s="17">
        <v>114</v>
      </c>
      <c r="D255" s="17">
        <v>0.66</v>
      </c>
      <c r="E255" t="s">
        <v>981</v>
      </c>
      <c r="G255" t="str">
        <f t="shared" si="28"/>
        <v>[http://atom.kaeri.re.kr/cgi-bin/nuclide?nuc=Sn-114 &lt;sub&gt;114&lt;/sub&gt;Sn]</v>
      </c>
      <c r="H255" t="str">
        <f t="shared" si="29"/>
        <v>0,66 % || stabil</v>
      </c>
      <c r="I255" t="str">
        <f t="shared" si="30"/>
        <v xml:space="preserve"> | [http://atom.kaeri.re.kr/cgi-bin/nuclide?nuc=Sn-114 &lt;sub&gt;114&lt;/sub&gt;Sn] || 0,66 % || stabil || </v>
      </c>
      <c r="N255" t="str">
        <f t="shared" si="31"/>
        <v xml:space="preserve"> | [http://atom.kaeri.re.kr/cgi-bin/nuclide?nuc=Sn-114 &lt;sub&gt;114&lt;/sub&gt;Sn] || 0,66 % || stabil || &lt;br&gt; |-</v>
      </c>
    </row>
    <row r="256" spans="1:14" ht="15.95" customHeight="1">
      <c r="A256" s="17">
        <v>50</v>
      </c>
      <c r="B256" s="21" t="s">
        <v>111</v>
      </c>
      <c r="C256" s="17">
        <v>115</v>
      </c>
      <c r="D256" s="17">
        <v>0.34</v>
      </c>
      <c r="E256" t="s">
        <v>981</v>
      </c>
      <c r="G256" t="str">
        <f t="shared" si="28"/>
        <v>[http://atom.kaeri.re.kr/cgi-bin/nuclide?nuc=Sn-115 &lt;sub&gt;115&lt;/sub&gt;Sn]</v>
      </c>
      <c r="H256" t="str">
        <f t="shared" si="29"/>
        <v>0,34 % || stabil</v>
      </c>
      <c r="I256" t="str">
        <f t="shared" si="30"/>
        <v xml:space="preserve"> | [http://atom.kaeri.re.kr/cgi-bin/nuclide?nuc=Sn-115 &lt;sub&gt;115&lt;/sub&gt;Sn] || 0,34 % || stabil || </v>
      </c>
      <c r="N256" t="str">
        <f t="shared" si="31"/>
        <v xml:space="preserve"> | [http://atom.kaeri.re.kr/cgi-bin/nuclide?nuc=Sn-115 &lt;sub&gt;115&lt;/sub&gt;Sn] || 0,34 % || stabil || &lt;br&gt; |-</v>
      </c>
    </row>
    <row r="257" spans="1:14" ht="15.95" customHeight="1">
      <c r="A257" s="17">
        <v>50</v>
      </c>
      <c r="B257" s="21" t="s">
        <v>111</v>
      </c>
      <c r="C257" s="17">
        <v>116</v>
      </c>
      <c r="D257" s="17">
        <v>14.54</v>
      </c>
      <c r="E257" t="s">
        <v>981</v>
      </c>
      <c r="G257" t="str">
        <f t="shared" si="28"/>
        <v>[http://atom.kaeri.re.kr/cgi-bin/nuclide?nuc=Sn-116 &lt;sub&gt;116&lt;/sub&gt;Sn]</v>
      </c>
      <c r="H257" t="str">
        <f t="shared" si="29"/>
        <v>14,54 % || stabil</v>
      </c>
      <c r="I257" t="str">
        <f t="shared" si="30"/>
        <v xml:space="preserve"> | [http://atom.kaeri.re.kr/cgi-bin/nuclide?nuc=Sn-116 &lt;sub&gt;116&lt;/sub&gt;Sn] || 14,54 % || stabil || </v>
      </c>
      <c r="N257" t="str">
        <f t="shared" si="31"/>
        <v xml:space="preserve"> | [http://atom.kaeri.re.kr/cgi-bin/nuclide?nuc=Sn-116 &lt;sub&gt;116&lt;/sub&gt;Sn] || 14,54 % || stabil || &lt;br&gt; |-</v>
      </c>
    </row>
    <row r="258" spans="1:14" ht="15.95" customHeight="1">
      <c r="A258" s="17">
        <v>50</v>
      </c>
      <c r="B258" s="21" t="s">
        <v>111</v>
      </c>
      <c r="C258" s="17">
        <v>117</v>
      </c>
      <c r="D258" s="17">
        <v>7.68</v>
      </c>
      <c r="E258" t="s">
        <v>981</v>
      </c>
      <c r="G258" t="str">
        <f t="shared" si="28"/>
        <v>[http://atom.kaeri.re.kr/cgi-bin/nuclide?nuc=Sn-117 &lt;sub&gt;117&lt;/sub&gt;Sn]</v>
      </c>
      <c r="H258" t="str">
        <f t="shared" si="29"/>
        <v>7,68 % || stabil</v>
      </c>
      <c r="I258" t="str">
        <f t="shared" si="30"/>
        <v xml:space="preserve"> | [http://atom.kaeri.re.kr/cgi-bin/nuclide?nuc=Sn-117 &lt;sub&gt;117&lt;/sub&gt;Sn] || 7,68 % || stabil || </v>
      </c>
      <c r="N258" t="str">
        <f t="shared" si="31"/>
        <v xml:space="preserve"> | [http://atom.kaeri.re.kr/cgi-bin/nuclide?nuc=Sn-117 &lt;sub&gt;117&lt;/sub&gt;Sn] || 7,68 % || stabil || &lt;br&gt; |-</v>
      </c>
    </row>
    <row r="259" spans="1:14" ht="15.95" customHeight="1">
      <c r="A259" s="17">
        <v>50</v>
      </c>
      <c r="B259" s="21" t="s">
        <v>111</v>
      </c>
      <c r="C259" s="17">
        <v>118</v>
      </c>
      <c r="D259" s="17">
        <v>24.22</v>
      </c>
      <c r="E259" t="s">
        <v>981</v>
      </c>
      <c r="G259" t="str">
        <f t="shared" si="28"/>
        <v>[http://atom.kaeri.re.kr/cgi-bin/nuclide?nuc=Sn-118 &lt;sub&gt;118&lt;/sub&gt;Sn]</v>
      </c>
      <c r="H259" t="str">
        <f t="shared" si="29"/>
        <v>24,22 % || stabil</v>
      </c>
      <c r="I259" t="str">
        <f t="shared" si="30"/>
        <v xml:space="preserve"> | [http://atom.kaeri.re.kr/cgi-bin/nuclide?nuc=Sn-118 &lt;sub&gt;118&lt;/sub&gt;Sn] || 24,22 % || stabil || </v>
      </c>
      <c r="N259" t="str">
        <f t="shared" si="31"/>
        <v xml:space="preserve"> | [http://atom.kaeri.re.kr/cgi-bin/nuclide?nuc=Sn-118 &lt;sub&gt;118&lt;/sub&gt;Sn] || 24,22 % || stabil || &lt;br&gt; |-</v>
      </c>
    </row>
    <row r="260" spans="1:14" ht="15.95" customHeight="1">
      <c r="A260" s="17">
        <v>50</v>
      </c>
      <c r="B260" s="21" t="s">
        <v>111</v>
      </c>
      <c r="C260" s="17">
        <v>119</v>
      </c>
      <c r="D260" s="17">
        <v>8.59</v>
      </c>
      <c r="E260" t="s">
        <v>981</v>
      </c>
      <c r="G260" t="str">
        <f t="shared" si="28"/>
        <v>[http://atom.kaeri.re.kr/cgi-bin/nuclide?nuc=Sn-119 &lt;sub&gt;119&lt;/sub&gt;Sn]</v>
      </c>
      <c r="H260" t="str">
        <f t="shared" si="29"/>
        <v>8,59 % || stabil</v>
      </c>
      <c r="I260" t="str">
        <f t="shared" si="30"/>
        <v xml:space="preserve"> | [http://atom.kaeri.re.kr/cgi-bin/nuclide?nuc=Sn-119 &lt;sub&gt;119&lt;/sub&gt;Sn] || 8,59 % || stabil || </v>
      </c>
      <c r="N260" t="str">
        <f t="shared" si="31"/>
        <v xml:space="preserve"> | [http://atom.kaeri.re.kr/cgi-bin/nuclide?nuc=Sn-119 &lt;sub&gt;119&lt;/sub&gt;Sn] || 8,59 % || stabil || &lt;br&gt; |-</v>
      </c>
    </row>
    <row r="261" spans="1:14" ht="15.95" customHeight="1">
      <c r="A261" s="17">
        <v>50</v>
      </c>
      <c r="B261" s="21" t="s">
        <v>111</v>
      </c>
      <c r="C261" s="17">
        <v>120</v>
      </c>
      <c r="D261" s="17">
        <v>32.58</v>
      </c>
      <c r="E261" t="s">
        <v>981</v>
      </c>
      <c r="G261" t="str">
        <f t="shared" si="28"/>
        <v>[http://atom.kaeri.re.kr/cgi-bin/nuclide?nuc=Sn-120 &lt;sub&gt;120&lt;/sub&gt;Sn]</v>
      </c>
      <c r="H261" t="str">
        <f t="shared" si="29"/>
        <v>32,58 % || stabil</v>
      </c>
      <c r="I261" t="str">
        <f t="shared" si="30"/>
        <v xml:space="preserve"> | [http://atom.kaeri.re.kr/cgi-bin/nuclide?nuc=Sn-120 &lt;sub&gt;120&lt;/sub&gt;Sn] || 32,58 % || stabil || </v>
      </c>
      <c r="N261" t="str">
        <f t="shared" si="31"/>
        <v xml:space="preserve"> | [http://atom.kaeri.re.kr/cgi-bin/nuclide?nuc=Sn-120 &lt;sub&gt;120&lt;/sub&gt;Sn] || 32,58 % || stabil || &lt;br&gt; |-</v>
      </c>
    </row>
    <row r="262" spans="1:14" ht="15.95" customHeight="1">
      <c r="A262" s="17">
        <v>50</v>
      </c>
      <c r="B262" s="21" t="s">
        <v>111</v>
      </c>
      <c r="C262" s="17">
        <v>122</v>
      </c>
      <c r="D262" s="17">
        <v>4.63</v>
      </c>
      <c r="E262" t="s">
        <v>981</v>
      </c>
      <c r="G262" t="str">
        <f t="shared" si="28"/>
        <v>[http://atom.kaeri.re.kr/cgi-bin/nuclide?nuc=Sn-122 &lt;sub&gt;122&lt;/sub&gt;Sn]</v>
      </c>
      <c r="H262" t="str">
        <f t="shared" si="29"/>
        <v>4,63 % || stabil</v>
      </c>
      <c r="I262" t="str">
        <f t="shared" si="30"/>
        <v xml:space="preserve"> | [http://atom.kaeri.re.kr/cgi-bin/nuclide?nuc=Sn-122 &lt;sub&gt;122&lt;/sub&gt;Sn] || 4,63 % || stabil || </v>
      </c>
      <c r="N262" t="str">
        <f t="shared" si="31"/>
        <v xml:space="preserve"> | [http://atom.kaeri.re.kr/cgi-bin/nuclide?nuc=Sn-122 &lt;sub&gt;122&lt;/sub&gt;Sn] || 4,63 % || stabil || &lt;br&gt; |-</v>
      </c>
    </row>
    <row r="263" spans="1:14" ht="15.95" customHeight="1">
      <c r="A263" s="17">
        <v>50</v>
      </c>
      <c r="B263" s="21" t="s">
        <v>111</v>
      </c>
      <c r="C263" s="17">
        <v>124</v>
      </c>
      <c r="D263" s="17">
        <v>5.79</v>
      </c>
      <c r="E263" t="s">
        <v>981</v>
      </c>
      <c r="G263" t="str">
        <f t="shared" si="28"/>
        <v>[http://atom.kaeri.re.kr/cgi-bin/nuclide?nuc=Sn-124 &lt;sub&gt;124&lt;/sub&gt;Sn]</v>
      </c>
      <c r="H263" t="str">
        <f t="shared" si="29"/>
        <v>5,79 % || stabil</v>
      </c>
      <c r="I263" t="str">
        <f t="shared" si="30"/>
        <v xml:space="preserve"> | [http://atom.kaeri.re.kr/cgi-bin/nuclide?nuc=Sn-124 &lt;sub&gt;124&lt;/sub&gt;Sn] || 5,79 % || stabil || </v>
      </c>
      <c r="N263" t="str">
        <f t="shared" si="31"/>
        <v xml:space="preserve"> | [http://atom.kaeri.re.kr/cgi-bin/nuclide?nuc=Sn-124 &lt;sub&gt;124&lt;/sub&gt;Sn] || 5,79 % || stabil || &lt;br&gt; |-</v>
      </c>
    </row>
    <row r="264" spans="1:14" ht="15.95" customHeight="1">
      <c r="A264">
        <v>50</v>
      </c>
      <c r="B264" s="23" t="s">
        <v>111</v>
      </c>
      <c r="C264">
        <v>999</v>
      </c>
      <c r="D264" t="s">
        <v>112</v>
      </c>
      <c r="E264" t="s">
        <v>981</v>
      </c>
      <c r="N264" t="str">
        <f>CONCATENATE(" |}&lt;br&gt;* [http://atom.kaeri.re.kr/cgi-bin/nuclide?nuc=",B264," alle bekannten ",D264,"-Isotope]")</f>
        <v xml:space="preserve"> |}&lt;br&gt;* [http://atom.kaeri.re.kr/cgi-bin/nuclide?nuc=Sn alle bekannten Zinn-Isotope]</v>
      </c>
    </row>
    <row r="265" spans="1:14" ht="15.95" customHeight="1">
      <c r="A265">
        <v>51</v>
      </c>
      <c r="B265" s="23" t="s">
        <v>114</v>
      </c>
      <c r="C265" s="17">
        <v>0</v>
      </c>
      <c r="D265" t="s">
        <v>115</v>
      </c>
      <c r="E265" t="s">
        <v>981</v>
      </c>
      <c r="N265" t="str">
        <f>CONCATENATE("=== [[",D265,"]] ===&lt;br&gt;{| {{tabelle}}&lt;br&gt;! Isotop !! ",$D$1," !! [[",$E$1,"]] !! ",$F$1," &lt;br&gt; |-")</f>
        <v>=== [[Antimon]] ===&lt;br&gt;{| {{tabelle}}&lt;br&gt;! Isotop !! natürliche Häufigkeit !! [[Halbwertszeit]] !! Herkunft, techn. Bedeutung &lt;br&gt; |-</v>
      </c>
    </row>
    <row r="266" spans="1:14" ht="15.95" customHeight="1">
      <c r="A266" s="17">
        <v>51</v>
      </c>
      <c r="B266" s="21" t="s">
        <v>114</v>
      </c>
      <c r="C266" s="17">
        <v>121</v>
      </c>
      <c r="D266" s="17">
        <v>57.21</v>
      </c>
      <c r="E266" t="s">
        <v>981</v>
      </c>
      <c r="G266" t="str">
        <f>CONCATENATE("[","http://atom.kaeri.re.kr/cgi-bin/nuclide?nuc=",B266,"-",C266," &lt;sub&gt;",C266,"&lt;/sub&gt;",B266,"]")</f>
        <v>[http://atom.kaeri.re.kr/cgi-bin/nuclide?nuc=Sb-121 &lt;sub&gt;121&lt;/sub&gt;Sb]</v>
      </c>
      <c r="H266" t="str">
        <f>CONCATENATE(D266," % || ",E266)</f>
        <v>57,21 % || stabil</v>
      </c>
      <c r="I266" t="str">
        <f>CONCATENATE(" | ",G266," || ",H266," || ",F266)</f>
        <v xml:space="preserve"> | [http://atom.kaeri.re.kr/cgi-bin/nuclide?nuc=Sb-121 &lt;sub&gt;121&lt;/sub&gt;Sb] || 57,21 % || stabil || </v>
      </c>
      <c r="N266" t="str">
        <f>CONCATENATE(I266,"&lt;br&gt;"," |-")</f>
        <v xml:space="preserve"> | [http://atom.kaeri.re.kr/cgi-bin/nuclide?nuc=Sb-121 &lt;sub&gt;121&lt;/sub&gt;Sb] || 57,21 % || stabil || &lt;br&gt; |-</v>
      </c>
    </row>
    <row r="267" spans="1:14" ht="15.95" customHeight="1">
      <c r="A267" s="17">
        <v>51</v>
      </c>
      <c r="B267" s="21" t="s">
        <v>114</v>
      </c>
      <c r="C267" s="17">
        <v>123</v>
      </c>
      <c r="D267" s="17">
        <v>42.79</v>
      </c>
      <c r="E267" t="s">
        <v>981</v>
      </c>
      <c r="G267" t="str">
        <f>CONCATENATE("[","http://atom.kaeri.re.kr/cgi-bin/nuclide?nuc=",B267,"-",C267," &lt;sub&gt;",C267,"&lt;/sub&gt;",B267,"]")</f>
        <v>[http://atom.kaeri.re.kr/cgi-bin/nuclide?nuc=Sb-123 &lt;sub&gt;123&lt;/sub&gt;Sb]</v>
      </c>
      <c r="H267" t="str">
        <f>CONCATENATE(D267," % || ",E267)</f>
        <v>42,79 % || stabil</v>
      </c>
      <c r="I267" t="str">
        <f>CONCATENATE(" | ",G267," || ",H267," || ",F267)</f>
        <v xml:space="preserve"> | [http://atom.kaeri.re.kr/cgi-bin/nuclide?nuc=Sb-123 &lt;sub&gt;123&lt;/sub&gt;Sb] || 42,79 % || stabil || </v>
      </c>
      <c r="N267" t="str">
        <f>CONCATENATE(I267,"&lt;br&gt;"," |-")</f>
        <v xml:space="preserve"> | [http://atom.kaeri.re.kr/cgi-bin/nuclide?nuc=Sb-123 &lt;sub&gt;123&lt;/sub&gt;Sb] || 42,79 % || stabil || &lt;br&gt; |-</v>
      </c>
    </row>
    <row r="268" spans="1:14" ht="15.95" customHeight="1">
      <c r="A268">
        <v>51</v>
      </c>
      <c r="B268" s="23" t="s">
        <v>114</v>
      </c>
      <c r="C268">
        <v>999</v>
      </c>
      <c r="D268" t="s">
        <v>115</v>
      </c>
      <c r="E268" t="s">
        <v>981</v>
      </c>
      <c r="N268" t="str">
        <f>CONCATENATE(" |}&lt;br&gt;* [http://atom.kaeri.re.kr/cgi-bin/nuclide?nuc=",B268," alle bekannten ",D268,"-Isotope]")</f>
        <v xml:space="preserve"> |}&lt;br&gt;* [http://atom.kaeri.re.kr/cgi-bin/nuclide?nuc=Sb alle bekannten Antimon-Isotope]</v>
      </c>
    </row>
    <row r="269" spans="1:14" ht="15.95" customHeight="1">
      <c r="A269">
        <v>52</v>
      </c>
      <c r="B269" s="23" t="s">
        <v>117</v>
      </c>
      <c r="C269" s="17">
        <v>0</v>
      </c>
      <c r="D269" t="s">
        <v>118</v>
      </c>
      <c r="E269" t="s">
        <v>981</v>
      </c>
      <c r="N269" t="str">
        <f>CONCATENATE("=== [[",D269,"]] ===&lt;br&gt;{| {{tabelle}}&lt;br&gt;! Isotop !! ",$D$1," !! [[",$E$1,"]] !! ",$F$1," &lt;br&gt; |-")</f>
        <v>=== [[Tellur]] ===&lt;br&gt;{| {{tabelle}}&lt;br&gt;! Isotop !! natürliche Häufigkeit !! [[Halbwertszeit]] !! Herkunft, techn. Bedeutung &lt;br&gt; |-</v>
      </c>
    </row>
    <row r="270" spans="1:14" ht="15.95" customHeight="1">
      <c r="A270" s="17">
        <v>52</v>
      </c>
      <c r="B270" s="21" t="s">
        <v>117</v>
      </c>
      <c r="C270" s="17">
        <v>120</v>
      </c>
      <c r="D270" s="17">
        <v>0.09</v>
      </c>
      <c r="E270" t="s">
        <v>981</v>
      </c>
      <c r="G270" t="str">
        <f t="shared" ref="G270:G277" si="32">CONCATENATE("[","http://atom.kaeri.re.kr/cgi-bin/nuclide?nuc=",B270,"-",C270," &lt;sub&gt;",C270,"&lt;/sub&gt;",B270,"]")</f>
        <v>[http://atom.kaeri.re.kr/cgi-bin/nuclide?nuc=Te-120 &lt;sub&gt;120&lt;/sub&gt;Te]</v>
      </c>
      <c r="H270" t="str">
        <f t="shared" ref="H270:H277" si="33">CONCATENATE(D270," % || ",E270)</f>
        <v>0,09 % || stabil</v>
      </c>
      <c r="I270" t="str">
        <f t="shared" ref="I270:I277" si="34">CONCATENATE(" | ",G270," || ",H270," || ",F270)</f>
        <v xml:space="preserve"> | [http://atom.kaeri.re.kr/cgi-bin/nuclide?nuc=Te-120 &lt;sub&gt;120&lt;/sub&gt;Te] || 0,09 % || stabil || </v>
      </c>
      <c r="N270" t="str">
        <f t="shared" ref="N270:N277" si="35">CONCATENATE(I270,"&lt;br&gt;"," |-")</f>
        <v xml:space="preserve"> | [http://atom.kaeri.re.kr/cgi-bin/nuclide?nuc=Te-120 &lt;sub&gt;120&lt;/sub&gt;Te] || 0,09 % || stabil || &lt;br&gt; |-</v>
      </c>
    </row>
    <row r="271" spans="1:14" ht="15.95" customHeight="1">
      <c r="A271" s="17">
        <v>52</v>
      </c>
      <c r="B271" s="21" t="s">
        <v>117</v>
      </c>
      <c r="C271" s="17">
        <v>122</v>
      </c>
      <c r="D271" s="17">
        <v>2.5499999999999998</v>
      </c>
      <c r="E271" t="s">
        <v>981</v>
      </c>
      <c r="G271" t="str">
        <f t="shared" si="32"/>
        <v>[http://atom.kaeri.re.kr/cgi-bin/nuclide?nuc=Te-122 &lt;sub&gt;122&lt;/sub&gt;Te]</v>
      </c>
      <c r="H271" t="str">
        <f t="shared" si="33"/>
        <v>2,55 % || stabil</v>
      </c>
      <c r="I271" t="str">
        <f t="shared" si="34"/>
        <v xml:space="preserve"> | [http://atom.kaeri.re.kr/cgi-bin/nuclide?nuc=Te-122 &lt;sub&gt;122&lt;/sub&gt;Te] || 2,55 % || stabil || </v>
      </c>
      <c r="N271" t="str">
        <f t="shared" si="35"/>
        <v xml:space="preserve"> | [http://atom.kaeri.re.kr/cgi-bin/nuclide?nuc=Te-122 &lt;sub&gt;122&lt;/sub&gt;Te] || 2,55 % || stabil || &lt;br&gt; |-</v>
      </c>
    </row>
    <row r="272" spans="1:14" ht="15.95" customHeight="1">
      <c r="A272" s="17">
        <v>52</v>
      </c>
      <c r="B272" s="21" t="s">
        <v>117</v>
      </c>
      <c r="C272" s="17">
        <v>123</v>
      </c>
      <c r="D272" s="17">
        <v>0.89</v>
      </c>
      <c r="E272" t="s">
        <v>981</v>
      </c>
      <c r="G272" t="str">
        <f t="shared" si="32"/>
        <v>[http://atom.kaeri.re.kr/cgi-bin/nuclide?nuc=Te-123 &lt;sub&gt;123&lt;/sub&gt;Te]</v>
      </c>
      <c r="H272" t="str">
        <f t="shared" si="33"/>
        <v>0,89 % || stabil</v>
      </c>
      <c r="I272" t="str">
        <f t="shared" si="34"/>
        <v xml:space="preserve"> | [http://atom.kaeri.re.kr/cgi-bin/nuclide?nuc=Te-123 &lt;sub&gt;123&lt;/sub&gt;Te] || 0,89 % || stabil || </v>
      </c>
      <c r="N272" t="str">
        <f t="shared" si="35"/>
        <v xml:space="preserve"> | [http://atom.kaeri.re.kr/cgi-bin/nuclide?nuc=Te-123 &lt;sub&gt;123&lt;/sub&gt;Te] || 0,89 % || stabil || &lt;br&gt; |-</v>
      </c>
    </row>
    <row r="273" spans="1:14" ht="15.95" customHeight="1">
      <c r="A273" s="17">
        <v>52</v>
      </c>
      <c r="B273" s="21" t="s">
        <v>117</v>
      </c>
      <c r="C273" s="17">
        <v>124</v>
      </c>
      <c r="D273" s="17">
        <v>4.74</v>
      </c>
      <c r="E273" t="s">
        <v>981</v>
      </c>
      <c r="G273" t="str">
        <f t="shared" si="32"/>
        <v>[http://atom.kaeri.re.kr/cgi-bin/nuclide?nuc=Te-124 &lt;sub&gt;124&lt;/sub&gt;Te]</v>
      </c>
      <c r="H273" t="str">
        <f t="shared" si="33"/>
        <v>4,74 % || stabil</v>
      </c>
      <c r="I273" t="str">
        <f t="shared" si="34"/>
        <v xml:space="preserve"> | [http://atom.kaeri.re.kr/cgi-bin/nuclide?nuc=Te-124 &lt;sub&gt;124&lt;/sub&gt;Te] || 4,74 % || stabil || </v>
      </c>
      <c r="N273" t="str">
        <f t="shared" si="35"/>
        <v xml:space="preserve"> | [http://atom.kaeri.re.kr/cgi-bin/nuclide?nuc=Te-124 &lt;sub&gt;124&lt;/sub&gt;Te] || 4,74 % || stabil || &lt;br&gt; |-</v>
      </c>
    </row>
    <row r="274" spans="1:14" ht="15.95" customHeight="1">
      <c r="A274" s="17">
        <v>52</v>
      </c>
      <c r="B274" s="21" t="s">
        <v>117</v>
      </c>
      <c r="C274" s="17">
        <v>125</v>
      </c>
      <c r="D274" s="17">
        <v>7.07</v>
      </c>
      <c r="E274" t="s">
        <v>981</v>
      </c>
      <c r="G274" t="str">
        <f t="shared" si="32"/>
        <v>[http://atom.kaeri.re.kr/cgi-bin/nuclide?nuc=Te-125 &lt;sub&gt;125&lt;/sub&gt;Te]</v>
      </c>
      <c r="H274" t="str">
        <f t="shared" si="33"/>
        <v>7,07 % || stabil</v>
      </c>
      <c r="I274" t="str">
        <f t="shared" si="34"/>
        <v xml:space="preserve"> | [http://atom.kaeri.re.kr/cgi-bin/nuclide?nuc=Te-125 &lt;sub&gt;125&lt;/sub&gt;Te] || 7,07 % || stabil || </v>
      </c>
      <c r="N274" t="str">
        <f t="shared" si="35"/>
        <v xml:space="preserve"> | [http://atom.kaeri.re.kr/cgi-bin/nuclide?nuc=Te-125 &lt;sub&gt;125&lt;/sub&gt;Te] || 7,07 % || stabil || &lt;br&gt; |-</v>
      </c>
    </row>
    <row r="275" spans="1:14" ht="15.95" customHeight="1">
      <c r="A275" s="17">
        <v>52</v>
      </c>
      <c r="B275" s="21" t="s">
        <v>117</v>
      </c>
      <c r="C275" s="17">
        <v>126</v>
      </c>
      <c r="D275" s="17">
        <v>18.84</v>
      </c>
      <c r="E275" t="s">
        <v>981</v>
      </c>
      <c r="G275" t="str">
        <f t="shared" si="32"/>
        <v>[http://atom.kaeri.re.kr/cgi-bin/nuclide?nuc=Te-126 &lt;sub&gt;126&lt;/sub&gt;Te]</v>
      </c>
      <c r="H275" t="str">
        <f t="shared" si="33"/>
        <v>18,84 % || stabil</v>
      </c>
      <c r="I275" t="str">
        <f t="shared" si="34"/>
        <v xml:space="preserve"> | [http://atom.kaeri.re.kr/cgi-bin/nuclide?nuc=Te-126 &lt;sub&gt;126&lt;/sub&gt;Te] || 18,84 % || stabil || </v>
      </c>
      <c r="N275" t="str">
        <f t="shared" si="35"/>
        <v xml:space="preserve"> | [http://atom.kaeri.re.kr/cgi-bin/nuclide?nuc=Te-126 &lt;sub&gt;126&lt;/sub&gt;Te] || 18,84 % || stabil || &lt;br&gt; |-</v>
      </c>
    </row>
    <row r="276" spans="1:14" ht="15.95" customHeight="1">
      <c r="A276" s="17">
        <v>52</v>
      </c>
      <c r="B276" s="21" t="s">
        <v>117</v>
      </c>
      <c r="C276" s="17">
        <v>128</v>
      </c>
      <c r="D276" s="17">
        <v>31.74</v>
      </c>
      <c r="E276" t="s">
        <v>981</v>
      </c>
      <c r="G276" t="str">
        <f t="shared" si="32"/>
        <v>[http://atom.kaeri.re.kr/cgi-bin/nuclide?nuc=Te-128 &lt;sub&gt;128&lt;/sub&gt;Te]</v>
      </c>
      <c r="H276" t="str">
        <f t="shared" si="33"/>
        <v>31,74 % || stabil</v>
      </c>
      <c r="I276" t="str">
        <f t="shared" si="34"/>
        <v xml:space="preserve"> | [http://atom.kaeri.re.kr/cgi-bin/nuclide?nuc=Te-128 &lt;sub&gt;128&lt;/sub&gt;Te] || 31,74 % || stabil || </v>
      </c>
      <c r="N276" t="str">
        <f t="shared" si="35"/>
        <v xml:space="preserve"> | [http://atom.kaeri.re.kr/cgi-bin/nuclide?nuc=Te-128 &lt;sub&gt;128&lt;/sub&gt;Te] || 31,74 % || stabil || &lt;br&gt; |-</v>
      </c>
    </row>
    <row r="277" spans="1:14" ht="15.95" customHeight="1">
      <c r="A277" s="17">
        <v>52</v>
      </c>
      <c r="B277" s="21" t="s">
        <v>117</v>
      </c>
      <c r="C277" s="17">
        <v>130</v>
      </c>
      <c r="D277" s="17">
        <v>34.08</v>
      </c>
      <c r="E277" t="s">
        <v>981</v>
      </c>
      <c r="G277" t="str">
        <f t="shared" si="32"/>
        <v>[http://atom.kaeri.re.kr/cgi-bin/nuclide?nuc=Te-130 &lt;sub&gt;130&lt;/sub&gt;Te]</v>
      </c>
      <c r="H277" t="str">
        <f t="shared" si="33"/>
        <v>34,08 % || stabil</v>
      </c>
      <c r="I277" t="str">
        <f t="shared" si="34"/>
        <v xml:space="preserve"> | [http://atom.kaeri.re.kr/cgi-bin/nuclide?nuc=Te-130 &lt;sub&gt;130&lt;/sub&gt;Te] || 34,08 % || stabil || </v>
      </c>
      <c r="N277" t="str">
        <f t="shared" si="35"/>
        <v xml:space="preserve"> | [http://atom.kaeri.re.kr/cgi-bin/nuclide?nuc=Te-130 &lt;sub&gt;130&lt;/sub&gt;Te] || 34,08 % || stabil || &lt;br&gt; |-</v>
      </c>
    </row>
    <row r="278" spans="1:14" ht="15.95" customHeight="1">
      <c r="A278">
        <v>52</v>
      </c>
      <c r="B278" s="23" t="s">
        <v>117</v>
      </c>
      <c r="C278">
        <v>999</v>
      </c>
      <c r="D278" t="s">
        <v>118</v>
      </c>
      <c r="E278" t="s">
        <v>981</v>
      </c>
      <c r="N278" t="str">
        <f>CONCATENATE(" |}&lt;br&gt;* [http://atom.kaeri.re.kr/cgi-bin/nuclide?nuc=",B278," alle bekannten ",D278,"-Isotope]")</f>
        <v xml:space="preserve"> |}&lt;br&gt;* [http://atom.kaeri.re.kr/cgi-bin/nuclide?nuc=Te alle bekannten Tellur-Isotope]</v>
      </c>
    </row>
    <row r="279" spans="1:14" ht="15.95" customHeight="1">
      <c r="A279">
        <v>53</v>
      </c>
      <c r="B279" s="23" t="s">
        <v>814</v>
      </c>
      <c r="C279" s="17">
        <v>0</v>
      </c>
      <c r="D279" t="s">
        <v>121</v>
      </c>
      <c r="E279" t="s">
        <v>981</v>
      </c>
      <c r="N279" t="str">
        <f>CONCATENATE("=== [[",D279,"]] ===&lt;br&gt;{| {{tabelle}}&lt;br&gt;! Isotop !! ",$D$1," !! [[",$E$1,"]] !! ",$F$1," &lt;br&gt; |-")</f>
        <v>=== [[Iod]] ===&lt;br&gt;{| {{tabelle}}&lt;br&gt;! Isotop !! natürliche Häufigkeit !! [[Halbwertszeit]] !! Herkunft, techn. Bedeutung &lt;br&gt; |-</v>
      </c>
    </row>
    <row r="280" spans="1:14" s="18" customFormat="1" ht="15.95" customHeight="1">
      <c r="A280">
        <v>53</v>
      </c>
      <c r="B280" s="22" t="s">
        <v>814</v>
      </c>
      <c r="C280" s="19">
        <v>125</v>
      </c>
      <c r="D280" s="18" t="s">
        <v>874</v>
      </c>
      <c r="E280" t="s">
        <v>972</v>
      </c>
      <c r="F280" t="s">
        <v>1005</v>
      </c>
      <c r="G280" t="str">
        <f>CONCATENATE("[","http://atom.kaeri.re.kr/cgi-bin/nuclide?nuc=",B280,"-",C280," &lt;sub&gt;",C280,"&lt;/sub&gt;",B280,"]")</f>
        <v>[http://atom.kaeri.re.kr/cgi-bin/nuclide?nuc=I-125 &lt;sub&gt;125&lt;/sub&gt;I]</v>
      </c>
      <c r="H280" t="str">
        <f>CONCATENATE(D280," % || ",E280)</f>
        <v>- % || 60 Tage</v>
      </c>
      <c r="I280" t="str">
        <f>CONCATENATE(" | ",G280," || ",H280," || ",F280)</f>
        <v xml:space="preserve"> | [http://atom.kaeri.re.kr/cgi-bin/nuclide?nuc=I-125 &lt;sub&gt;125&lt;/sub&gt;I] || - % || 60 Tage || [[radioaktiv]], Medizin</v>
      </c>
      <c r="J280"/>
      <c r="K280"/>
      <c r="L280"/>
      <c r="M280"/>
      <c r="N280" t="str">
        <f>CONCATENATE(I280,"&lt;br&gt;"," |-")</f>
        <v xml:space="preserve"> | [http://atom.kaeri.re.kr/cgi-bin/nuclide?nuc=I-125 &lt;sub&gt;125&lt;/sub&gt;I] || - % || 60 Tage || [[radioaktiv]], Medizin&lt;br&gt; |-</v>
      </c>
    </row>
    <row r="281" spans="1:14" ht="15.95" customHeight="1">
      <c r="A281">
        <v>53</v>
      </c>
      <c r="B281" s="21" t="s">
        <v>814</v>
      </c>
      <c r="C281" s="17">
        <v>127</v>
      </c>
      <c r="D281" s="17">
        <v>100</v>
      </c>
      <c r="E281" t="s">
        <v>981</v>
      </c>
      <c r="G281" t="str">
        <f>CONCATENATE("[","http://atom.kaeri.re.kr/cgi-bin/nuclide?nuc=",B281,"-",C281," &lt;sub&gt;",C281,"&lt;/sub&gt;",B281,"]")</f>
        <v>[http://atom.kaeri.re.kr/cgi-bin/nuclide?nuc=I-127 &lt;sub&gt;127&lt;/sub&gt;I]</v>
      </c>
      <c r="H281" t="str">
        <f>CONCATENATE(D281," % || ",E281)</f>
        <v>100 % || stabil</v>
      </c>
      <c r="I281" t="str">
        <f>CONCATENATE(" | ",G281," || ",H281," || ",F281)</f>
        <v xml:space="preserve"> | [http://atom.kaeri.re.kr/cgi-bin/nuclide?nuc=I-127 &lt;sub&gt;127&lt;/sub&gt;I] || 100 % || stabil || </v>
      </c>
      <c r="N281" t="str">
        <f>CONCATENATE(I281,"&lt;br&gt;"," |-")</f>
        <v xml:space="preserve"> | [http://atom.kaeri.re.kr/cgi-bin/nuclide?nuc=I-127 &lt;sub&gt;127&lt;/sub&gt;I] || 100 % || stabil || &lt;br&gt; |-</v>
      </c>
    </row>
    <row r="282" spans="1:14" s="18" customFormat="1" ht="15.95" customHeight="1">
      <c r="A282">
        <v>53</v>
      </c>
      <c r="B282" s="22" t="s">
        <v>814</v>
      </c>
      <c r="C282" s="19">
        <v>131</v>
      </c>
      <c r="D282" s="18" t="s">
        <v>874</v>
      </c>
      <c r="E282" t="s">
        <v>974</v>
      </c>
      <c r="F282" t="s">
        <v>1003</v>
      </c>
      <c r="G282" t="str">
        <f>CONCATENATE("[","http://atom.kaeri.re.kr/cgi-bin/nuclide?nuc=",B282,"-",C282," &lt;sub&gt;",C282,"&lt;/sub&gt;",B282,"]")</f>
        <v>[http://atom.kaeri.re.kr/cgi-bin/nuclide?nuc=I-131 &lt;sub&gt;131&lt;/sub&gt;I]</v>
      </c>
      <c r="H282" t="str">
        <f>CONCATENATE(D282," % || ",E282)</f>
        <v>- % || 8 Tage</v>
      </c>
      <c r="I282" t="str">
        <f>CONCATENATE(" | ",G282," || ",H282," || ",F282)</f>
        <v xml:space="preserve"> | [http://atom.kaeri.re.kr/cgi-bin/nuclide?nuc=I-131 &lt;sub&gt;131&lt;/sub&gt;I] || - % || 8 Tage || [[radioaktiv]], Medizin, Kerntechnik</v>
      </c>
      <c r="J282"/>
      <c r="K282"/>
      <c r="L282"/>
      <c r="M282"/>
      <c r="N282" t="str">
        <f>CONCATENATE(I282,"&lt;br&gt;"," |-")</f>
        <v xml:space="preserve"> | [http://atom.kaeri.re.kr/cgi-bin/nuclide?nuc=I-131 &lt;sub&gt;131&lt;/sub&gt;I] || - % || 8 Tage || [[radioaktiv]], Medizin, Kerntechnik&lt;br&gt; |-</v>
      </c>
    </row>
    <row r="283" spans="1:14" ht="15.95" customHeight="1">
      <c r="A283">
        <v>53</v>
      </c>
      <c r="B283" s="23" t="s">
        <v>814</v>
      </c>
      <c r="C283">
        <v>999</v>
      </c>
      <c r="D283" t="s">
        <v>121</v>
      </c>
      <c r="E283" t="s">
        <v>981</v>
      </c>
      <c r="N283" t="str">
        <f>CONCATENATE(" |}&lt;br&gt;* [http://atom.kaeri.re.kr/cgi-bin/nuclide?nuc=",B283," alle bekannten ",D283,"-Isotope]")</f>
        <v xml:space="preserve"> |}&lt;br&gt;* [http://atom.kaeri.re.kr/cgi-bin/nuclide?nuc=I alle bekannten Iod-Isotope]</v>
      </c>
    </row>
    <row r="284" spans="1:14" ht="15.95" customHeight="1">
      <c r="A284">
        <v>54</v>
      </c>
      <c r="B284" s="23" t="s">
        <v>124</v>
      </c>
      <c r="C284" s="17">
        <v>0</v>
      </c>
      <c r="D284" t="s">
        <v>125</v>
      </c>
      <c r="E284" t="s">
        <v>981</v>
      </c>
      <c r="N284" t="str">
        <f>CONCATENATE("=== [[",D284,"]] ===&lt;br&gt;{| {{tabelle}}&lt;br&gt;! Isotop !! ",$D$1," !! [[",$E$1,"]] !! ",$F$1," &lt;br&gt; |-")</f>
        <v>=== [[Xenon]] ===&lt;br&gt;{| {{tabelle}}&lt;br&gt;! Isotop !! natürliche Häufigkeit !! [[Halbwertszeit]] !! Herkunft, techn. Bedeutung &lt;br&gt; |-</v>
      </c>
    </row>
    <row r="285" spans="1:14" ht="15.95" customHeight="1">
      <c r="A285" s="17">
        <v>54</v>
      </c>
      <c r="B285" s="21" t="s">
        <v>124</v>
      </c>
      <c r="C285" s="17">
        <v>124</v>
      </c>
      <c r="D285" s="17">
        <v>0.09</v>
      </c>
      <c r="E285" t="s">
        <v>981</v>
      </c>
      <c r="G285" t="str">
        <f t="shared" ref="G285:G293" si="36">CONCATENATE("[","http://atom.kaeri.re.kr/cgi-bin/nuclide?nuc=",B285,"-",C285," &lt;sub&gt;",C285,"&lt;/sub&gt;",B285,"]")</f>
        <v>[http://atom.kaeri.re.kr/cgi-bin/nuclide?nuc=Xe-124 &lt;sub&gt;124&lt;/sub&gt;Xe]</v>
      </c>
      <c r="H285" t="str">
        <f t="shared" ref="H285:H293" si="37">CONCATENATE(D285," % || ",E285)</f>
        <v>0,09 % || stabil</v>
      </c>
      <c r="I285" t="str">
        <f t="shared" ref="I285:I293" si="38">CONCATENATE(" | ",G285," || ",H285," || ",F285)</f>
        <v xml:space="preserve"> | [http://atom.kaeri.re.kr/cgi-bin/nuclide?nuc=Xe-124 &lt;sub&gt;124&lt;/sub&gt;Xe] || 0,09 % || stabil || </v>
      </c>
      <c r="N285" t="str">
        <f t="shared" ref="N285:N293" si="39">CONCATENATE(I285,"&lt;br&gt;"," |-")</f>
        <v xml:space="preserve"> | [http://atom.kaeri.re.kr/cgi-bin/nuclide?nuc=Xe-124 &lt;sub&gt;124&lt;/sub&gt;Xe] || 0,09 % || stabil || &lt;br&gt; |-</v>
      </c>
    </row>
    <row r="286" spans="1:14" ht="15.95" customHeight="1">
      <c r="A286" s="17">
        <v>54</v>
      </c>
      <c r="B286" s="21" t="s">
        <v>124</v>
      </c>
      <c r="C286" s="17">
        <v>126</v>
      </c>
      <c r="D286" s="17">
        <v>0.09</v>
      </c>
      <c r="E286" t="s">
        <v>981</v>
      </c>
      <c r="G286" t="str">
        <f t="shared" si="36"/>
        <v>[http://atom.kaeri.re.kr/cgi-bin/nuclide?nuc=Xe-126 &lt;sub&gt;126&lt;/sub&gt;Xe]</v>
      </c>
      <c r="H286" t="str">
        <f t="shared" si="37"/>
        <v>0,09 % || stabil</v>
      </c>
      <c r="I286" t="str">
        <f t="shared" si="38"/>
        <v xml:space="preserve"> | [http://atom.kaeri.re.kr/cgi-bin/nuclide?nuc=Xe-126 &lt;sub&gt;126&lt;/sub&gt;Xe] || 0,09 % || stabil || </v>
      </c>
      <c r="N286" t="str">
        <f t="shared" si="39"/>
        <v xml:space="preserve"> | [http://atom.kaeri.re.kr/cgi-bin/nuclide?nuc=Xe-126 &lt;sub&gt;126&lt;/sub&gt;Xe] || 0,09 % || stabil || &lt;br&gt; |-</v>
      </c>
    </row>
    <row r="287" spans="1:14" ht="15.95" customHeight="1">
      <c r="A287" s="17">
        <v>54</v>
      </c>
      <c r="B287" s="21" t="s">
        <v>124</v>
      </c>
      <c r="C287" s="17">
        <v>128</v>
      </c>
      <c r="D287" s="17">
        <v>1.92</v>
      </c>
      <c r="E287" t="s">
        <v>981</v>
      </c>
      <c r="G287" t="str">
        <f t="shared" si="36"/>
        <v>[http://atom.kaeri.re.kr/cgi-bin/nuclide?nuc=Xe-128 &lt;sub&gt;128&lt;/sub&gt;Xe]</v>
      </c>
      <c r="H287" t="str">
        <f t="shared" si="37"/>
        <v>1,92 % || stabil</v>
      </c>
      <c r="I287" t="str">
        <f t="shared" si="38"/>
        <v xml:space="preserve"> | [http://atom.kaeri.re.kr/cgi-bin/nuclide?nuc=Xe-128 &lt;sub&gt;128&lt;/sub&gt;Xe] || 1,92 % || stabil || </v>
      </c>
      <c r="N287" t="str">
        <f t="shared" si="39"/>
        <v xml:space="preserve"> | [http://atom.kaeri.re.kr/cgi-bin/nuclide?nuc=Xe-128 &lt;sub&gt;128&lt;/sub&gt;Xe] || 1,92 % || stabil || &lt;br&gt; |-</v>
      </c>
    </row>
    <row r="288" spans="1:14" ht="15.95" customHeight="1">
      <c r="A288" s="17">
        <v>54</v>
      </c>
      <c r="B288" s="21" t="s">
        <v>124</v>
      </c>
      <c r="C288" s="17">
        <v>129</v>
      </c>
      <c r="D288" s="17">
        <v>26.44</v>
      </c>
      <c r="E288" t="s">
        <v>981</v>
      </c>
      <c r="G288" t="str">
        <f t="shared" si="36"/>
        <v>[http://atom.kaeri.re.kr/cgi-bin/nuclide?nuc=Xe-129 &lt;sub&gt;129&lt;/sub&gt;Xe]</v>
      </c>
      <c r="H288" t="str">
        <f t="shared" si="37"/>
        <v>26,44 % || stabil</v>
      </c>
      <c r="I288" t="str">
        <f t="shared" si="38"/>
        <v xml:space="preserve"> | [http://atom.kaeri.re.kr/cgi-bin/nuclide?nuc=Xe-129 &lt;sub&gt;129&lt;/sub&gt;Xe] || 26,44 % || stabil || </v>
      </c>
      <c r="N288" t="str">
        <f t="shared" si="39"/>
        <v xml:space="preserve"> | [http://atom.kaeri.re.kr/cgi-bin/nuclide?nuc=Xe-129 &lt;sub&gt;129&lt;/sub&gt;Xe] || 26,44 % || stabil || &lt;br&gt; |-</v>
      </c>
    </row>
    <row r="289" spans="1:14" ht="15.95" customHeight="1">
      <c r="A289" s="17">
        <v>54</v>
      </c>
      <c r="B289" s="21" t="s">
        <v>124</v>
      </c>
      <c r="C289" s="17">
        <v>130</v>
      </c>
      <c r="D289" s="17">
        <v>4.08</v>
      </c>
      <c r="E289" t="s">
        <v>981</v>
      </c>
      <c r="G289" t="str">
        <f t="shared" si="36"/>
        <v>[http://atom.kaeri.re.kr/cgi-bin/nuclide?nuc=Xe-130 &lt;sub&gt;130&lt;/sub&gt;Xe]</v>
      </c>
      <c r="H289" t="str">
        <f t="shared" si="37"/>
        <v>4,08 % || stabil</v>
      </c>
      <c r="I289" t="str">
        <f t="shared" si="38"/>
        <v xml:space="preserve"> | [http://atom.kaeri.re.kr/cgi-bin/nuclide?nuc=Xe-130 &lt;sub&gt;130&lt;/sub&gt;Xe] || 4,08 % || stabil || </v>
      </c>
      <c r="N289" t="str">
        <f t="shared" si="39"/>
        <v xml:space="preserve"> | [http://atom.kaeri.re.kr/cgi-bin/nuclide?nuc=Xe-130 &lt;sub&gt;130&lt;/sub&gt;Xe] || 4,08 % || stabil || &lt;br&gt; |-</v>
      </c>
    </row>
    <row r="290" spans="1:14" ht="15.95" customHeight="1">
      <c r="A290" s="17">
        <v>54</v>
      </c>
      <c r="B290" s="21" t="s">
        <v>124</v>
      </c>
      <c r="C290" s="17">
        <v>131</v>
      </c>
      <c r="D290" s="17">
        <v>21.18</v>
      </c>
      <c r="E290" t="s">
        <v>981</v>
      </c>
      <c r="G290" t="str">
        <f t="shared" si="36"/>
        <v>[http://atom.kaeri.re.kr/cgi-bin/nuclide?nuc=Xe-131 &lt;sub&gt;131&lt;/sub&gt;Xe]</v>
      </c>
      <c r="H290" t="str">
        <f t="shared" si="37"/>
        <v>21,18 % || stabil</v>
      </c>
      <c r="I290" t="str">
        <f t="shared" si="38"/>
        <v xml:space="preserve"> | [http://atom.kaeri.re.kr/cgi-bin/nuclide?nuc=Xe-131 &lt;sub&gt;131&lt;/sub&gt;Xe] || 21,18 % || stabil || </v>
      </c>
      <c r="N290" t="str">
        <f t="shared" si="39"/>
        <v xml:space="preserve"> | [http://atom.kaeri.re.kr/cgi-bin/nuclide?nuc=Xe-131 &lt;sub&gt;131&lt;/sub&gt;Xe] || 21,18 % || stabil || &lt;br&gt; |-</v>
      </c>
    </row>
    <row r="291" spans="1:14" ht="15.95" customHeight="1">
      <c r="A291" s="17">
        <v>54</v>
      </c>
      <c r="B291" s="21" t="s">
        <v>124</v>
      </c>
      <c r="C291" s="17">
        <v>132</v>
      </c>
      <c r="D291" s="17">
        <v>26.89</v>
      </c>
      <c r="E291" t="s">
        <v>981</v>
      </c>
      <c r="G291" t="str">
        <f t="shared" si="36"/>
        <v>[http://atom.kaeri.re.kr/cgi-bin/nuclide?nuc=Xe-132 &lt;sub&gt;132&lt;/sub&gt;Xe]</v>
      </c>
      <c r="H291" t="str">
        <f t="shared" si="37"/>
        <v>26,89 % || stabil</v>
      </c>
      <c r="I291" t="str">
        <f t="shared" si="38"/>
        <v xml:space="preserve"> | [http://atom.kaeri.re.kr/cgi-bin/nuclide?nuc=Xe-132 &lt;sub&gt;132&lt;/sub&gt;Xe] || 26,89 % || stabil || </v>
      </c>
      <c r="N291" t="str">
        <f t="shared" si="39"/>
        <v xml:space="preserve"> | [http://atom.kaeri.re.kr/cgi-bin/nuclide?nuc=Xe-132 &lt;sub&gt;132&lt;/sub&gt;Xe] || 26,89 % || stabil || &lt;br&gt; |-</v>
      </c>
    </row>
    <row r="292" spans="1:14" ht="15.95" customHeight="1">
      <c r="A292" s="17">
        <v>54</v>
      </c>
      <c r="B292" s="21" t="s">
        <v>124</v>
      </c>
      <c r="C292" s="17">
        <v>134</v>
      </c>
      <c r="D292" s="17">
        <v>10.44</v>
      </c>
      <c r="E292" t="s">
        <v>981</v>
      </c>
      <c r="G292" t="str">
        <f t="shared" si="36"/>
        <v>[http://atom.kaeri.re.kr/cgi-bin/nuclide?nuc=Xe-134 &lt;sub&gt;134&lt;/sub&gt;Xe]</v>
      </c>
      <c r="H292" t="str">
        <f t="shared" si="37"/>
        <v>10,44 % || stabil</v>
      </c>
      <c r="I292" t="str">
        <f t="shared" si="38"/>
        <v xml:space="preserve"> | [http://atom.kaeri.re.kr/cgi-bin/nuclide?nuc=Xe-134 &lt;sub&gt;134&lt;/sub&gt;Xe] || 10,44 % || stabil || </v>
      </c>
      <c r="N292" t="str">
        <f t="shared" si="39"/>
        <v xml:space="preserve"> | [http://atom.kaeri.re.kr/cgi-bin/nuclide?nuc=Xe-134 &lt;sub&gt;134&lt;/sub&gt;Xe] || 10,44 % || stabil || &lt;br&gt; |-</v>
      </c>
    </row>
    <row r="293" spans="1:14" ht="15.95" customHeight="1">
      <c r="A293" s="17">
        <v>54</v>
      </c>
      <c r="B293" s="21" t="s">
        <v>124</v>
      </c>
      <c r="C293" s="17">
        <v>136</v>
      </c>
      <c r="D293" s="17">
        <v>8.8699999999999992</v>
      </c>
      <c r="E293" t="s">
        <v>981</v>
      </c>
      <c r="G293" t="str">
        <f t="shared" si="36"/>
        <v>[http://atom.kaeri.re.kr/cgi-bin/nuclide?nuc=Xe-136 &lt;sub&gt;136&lt;/sub&gt;Xe]</v>
      </c>
      <c r="H293" t="str">
        <f t="shared" si="37"/>
        <v>8,87 % || stabil</v>
      </c>
      <c r="I293" t="str">
        <f t="shared" si="38"/>
        <v xml:space="preserve"> | [http://atom.kaeri.re.kr/cgi-bin/nuclide?nuc=Xe-136 &lt;sub&gt;136&lt;/sub&gt;Xe] || 8,87 % || stabil || </v>
      </c>
      <c r="N293" t="str">
        <f t="shared" si="39"/>
        <v xml:space="preserve"> | [http://atom.kaeri.re.kr/cgi-bin/nuclide?nuc=Xe-136 &lt;sub&gt;136&lt;/sub&gt;Xe] || 8,87 % || stabil || &lt;br&gt; |-</v>
      </c>
    </row>
    <row r="294" spans="1:14" ht="15.95" customHeight="1">
      <c r="A294">
        <v>54</v>
      </c>
      <c r="B294" s="23" t="s">
        <v>124</v>
      </c>
      <c r="C294">
        <v>999</v>
      </c>
      <c r="D294" t="s">
        <v>125</v>
      </c>
      <c r="E294" t="s">
        <v>981</v>
      </c>
      <c r="N294" t="str">
        <f>CONCATENATE(" |}&lt;br&gt;* [http://atom.kaeri.re.kr/cgi-bin/nuclide?nuc=",B294," alle bekannten ",D294,"-Isotope]")</f>
        <v xml:space="preserve"> |}&lt;br&gt;* [http://atom.kaeri.re.kr/cgi-bin/nuclide?nuc=Xe alle bekannten Xenon-Isotope]</v>
      </c>
    </row>
    <row r="295" spans="1:14" ht="15.95" customHeight="1">
      <c r="A295">
        <v>55</v>
      </c>
      <c r="B295" s="23" t="s">
        <v>126</v>
      </c>
      <c r="C295" s="17">
        <v>0</v>
      </c>
      <c r="D295" t="s">
        <v>598</v>
      </c>
      <c r="E295" t="s">
        <v>981</v>
      </c>
      <c r="N295" t="str">
        <f>CONCATENATE("=== [[",D295,"]] ===&lt;br&gt;{| {{tabelle}}&lt;br&gt;! Isotop !! ",$D$1," !! [[",$E$1,"]] !! ",$F$1," &lt;br&gt; |-")</f>
        <v>=== [[Caesium]] ===&lt;br&gt;{| {{tabelle}}&lt;br&gt;! Isotop !! natürliche Häufigkeit !! [[Halbwertszeit]] !! Herkunft, techn. Bedeutung &lt;br&gt; |-</v>
      </c>
    </row>
    <row r="296" spans="1:14" ht="15.95" customHeight="1">
      <c r="A296" s="17">
        <v>55</v>
      </c>
      <c r="B296" s="21" t="s">
        <v>126</v>
      </c>
      <c r="C296" s="17">
        <v>133</v>
      </c>
      <c r="D296" s="17">
        <v>100</v>
      </c>
      <c r="E296" t="s">
        <v>981</v>
      </c>
      <c r="G296" t="str">
        <f>CONCATENATE("[","http://atom.kaeri.re.kr/cgi-bin/nuclide?nuc=",B296,"-",C296," &lt;sub&gt;",C296,"&lt;/sub&gt;",B296,"]")</f>
        <v>[http://atom.kaeri.re.kr/cgi-bin/nuclide?nuc=Cs-133 &lt;sub&gt;133&lt;/sub&gt;Cs]</v>
      </c>
      <c r="H296" t="str">
        <f>CONCATENATE(D296," % || ",E296)</f>
        <v>100 % || stabil</v>
      </c>
      <c r="I296" t="str">
        <f>CONCATENATE(" | ",G296," || ",H296," || ",F296)</f>
        <v xml:space="preserve"> | [http://atom.kaeri.re.kr/cgi-bin/nuclide?nuc=Cs-133 &lt;sub&gt;133&lt;/sub&gt;Cs] || 100 % || stabil || </v>
      </c>
      <c r="N296" t="str">
        <f>CONCATENATE(I296,"&lt;br&gt;"," |-")</f>
        <v xml:space="preserve"> | [http://atom.kaeri.re.kr/cgi-bin/nuclide?nuc=Cs-133 &lt;sub&gt;133&lt;/sub&gt;Cs] || 100 % || stabil || &lt;br&gt; |-</v>
      </c>
    </row>
    <row r="297" spans="1:14" s="18" customFormat="1" ht="15.95" customHeight="1">
      <c r="A297" s="17">
        <v>55</v>
      </c>
      <c r="B297" s="22" t="s">
        <v>126</v>
      </c>
      <c r="C297" s="19">
        <v>134</v>
      </c>
      <c r="D297" s="18" t="s">
        <v>874</v>
      </c>
      <c r="E297" t="s">
        <v>975</v>
      </c>
      <c r="F297" t="s">
        <v>1004</v>
      </c>
      <c r="G297" t="str">
        <f>CONCATENATE("[","http://atom.kaeri.re.kr/cgi-bin/nuclide?nuc=",B297,"-",C297," &lt;sub&gt;",C297,"&lt;/sub&gt;",B297,"]")</f>
        <v>[http://atom.kaeri.re.kr/cgi-bin/nuclide?nuc=Cs-134 &lt;sub&gt;134&lt;/sub&gt;Cs]</v>
      </c>
      <c r="H297" t="str">
        <f>CONCATENATE(D297," % || ",E297)</f>
        <v>- % || 2 Jahre</v>
      </c>
      <c r="I297" t="str">
        <f>CONCATENATE(" | ",G297," || ",H297," || ",F297)</f>
        <v xml:space="preserve"> | [http://atom.kaeri.re.kr/cgi-bin/nuclide?nuc=Cs-134 &lt;sub&gt;134&lt;/sub&gt;Cs] || - % || 2 Jahre || [[radioaktiv]], Kerntechnik, Tschernobyl</v>
      </c>
      <c r="J297"/>
      <c r="K297"/>
      <c r="L297"/>
      <c r="M297"/>
      <c r="N297" t="str">
        <f>CONCATENATE(I297,"&lt;br&gt;"," |-")</f>
        <v xml:space="preserve"> | [http://atom.kaeri.re.kr/cgi-bin/nuclide?nuc=Cs-134 &lt;sub&gt;134&lt;/sub&gt;Cs] || - % || 2 Jahre || [[radioaktiv]], Kerntechnik, Tschernobyl&lt;br&gt; |-</v>
      </c>
    </row>
    <row r="298" spans="1:14" s="18" customFormat="1" ht="15.95" customHeight="1">
      <c r="A298" s="17">
        <v>55</v>
      </c>
      <c r="B298" s="22" t="s">
        <v>126</v>
      </c>
      <c r="C298" s="19">
        <v>137</v>
      </c>
      <c r="D298" s="18" t="s">
        <v>874</v>
      </c>
      <c r="E298" t="s">
        <v>976</v>
      </c>
      <c r="F298" t="s">
        <v>1002</v>
      </c>
      <c r="G298" t="str">
        <f>CONCATENATE("[","http://atom.kaeri.re.kr/cgi-bin/nuclide?nuc=",B298,"-",C298," &lt;sub&gt;",C298,"&lt;/sub&gt;",B298,"]")</f>
        <v>[http://atom.kaeri.re.kr/cgi-bin/nuclide?nuc=Cs-137 &lt;sub&gt;137&lt;/sub&gt;Cs]</v>
      </c>
      <c r="H298" t="str">
        <f>CONCATENATE(D298," % || ",E298)</f>
        <v>- % || 30 Jahre</v>
      </c>
      <c r="I298" t="str">
        <f>CONCATENATE(" | ",G298," || ",H298," || ",F298)</f>
        <v xml:space="preserve"> | [http://atom.kaeri.re.kr/cgi-bin/nuclide?nuc=Cs-137 &lt;sub&gt;137&lt;/sub&gt;Cs] || - % || 30 Jahre || [[radioaktiv]], Kernwaffenfallout, Tschernobyl, Kerntechnik, Medizin</v>
      </c>
      <c r="J298"/>
      <c r="K298"/>
      <c r="L298"/>
      <c r="M298"/>
      <c r="N298" t="str">
        <f>CONCATENATE(I298,"&lt;br&gt;"," |-")</f>
        <v xml:space="preserve"> | [http://atom.kaeri.re.kr/cgi-bin/nuclide?nuc=Cs-137 &lt;sub&gt;137&lt;/sub&gt;Cs] || - % || 30 Jahre || [[radioaktiv]], Kernwaffenfallout, Tschernobyl, Kerntechnik, Medizin&lt;br&gt; |-</v>
      </c>
    </row>
    <row r="299" spans="1:14" ht="15.95" customHeight="1">
      <c r="A299">
        <v>55</v>
      </c>
      <c r="B299" s="23" t="s">
        <v>126</v>
      </c>
      <c r="C299">
        <v>999</v>
      </c>
      <c r="D299" t="s">
        <v>598</v>
      </c>
      <c r="E299" t="s">
        <v>981</v>
      </c>
      <c r="N299" t="str">
        <f>CONCATENATE(" |}&lt;br&gt;* [http://atom.kaeri.re.kr/cgi-bin/nuclide?nuc=",B299," alle bekannten ",D299,"-Isotope]")</f>
        <v xml:space="preserve"> |}&lt;br&gt;* [http://atom.kaeri.re.kr/cgi-bin/nuclide?nuc=Cs alle bekannten Caesium-Isotope]</v>
      </c>
    </row>
    <row r="300" spans="1:14" ht="15.95" customHeight="1">
      <c r="A300">
        <v>56</v>
      </c>
      <c r="B300" s="23" t="s">
        <v>129</v>
      </c>
      <c r="C300" s="17">
        <v>0</v>
      </c>
      <c r="D300" t="s">
        <v>130</v>
      </c>
      <c r="E300" t="s">
        <v>981</v>
      </c>
      <c r="N300" t="str">
        <f>CONCATENATE("=== [[",D300,"]] ===&lt;br&gt;{| {{tabelle}}&lt;br&gt;! Isotop !! ",$D$1," !! [[",$E$1,"]] !! ",$F$1," &lt;br&gt; |-")</f>
        <v>=== [[Barium]] ===&lt;br&gt;{| {{tabelle}}&lt;br&gt;! Isotop !! natürliche Häufigkeit !! [[Halbwertszeit]] !! Herkunft, techn. Bedeutung &lt;br&gt; |-</v>
      </c>
    </row>
    <row r="301" spans="1:14" ht="15.95" customHeight="1">
      <c r="A301" s="17">
        <v>56</v>
      </c>
      <c r="B301" s="21" t="s">
        <v>129</v>
      </c>
      <c r="C301" s="17">
        <v>130</v>
      </c>
      <c r="D301" s="17">
        <v>0.106</v>
      </c>
      <c r="E301" t="s">
        <v>981</v>
      </c>
      <c r="G301" t="str">
        <f t="shared" ref="G301:G307" si="40">CONCATENATE("[","http://atom.kaeri.re.kr/cgi-bin/nuclide?nuc=",B301,"-",C301," &lt;sub&gt;",C301,"&lt;/sub&gt;",B301,"]")</f>
        <v>[http://atom.kaeri.re.kr/cgi-bin/nuclide?nuc=Ba-130 &lt;sub&gt;130&lt;/sub&gt;Ba]</v>
      </c>
      <c r="H301" t="str">
        <f t="shared" ref="H301:H307" si="41">CONCATENATE(D301," % || ",E301)</f>
        <v>0,106 % || stabil</v>
      </c>
      <c r="I301" t="str">
        <f t="shared" ref="I301:I307" si="42">CONCATENATE(" | ",G301," || ",H301," || ",F301)</f>
        <v xml:space="preserve"> | [http://atom.kaeri.re.kr/cgi-bin/nuclide?nuc=Ba-130 &lt;sub&gt;130&lt;/sub&gt;Ba] || 0,106 % || stabil || </v>
      </c>
      <c r="N301" t="str">
        <f t="shared" ref="N301:N307" si="43">CONCATENATE(I301,"&lt;br&gt;"," |-")</f>
        <v xml:space="preserve"> | [http://atom.kaeri.re.kr/cgi-bin/nuclide?nuc=Ba-130 &lt;sub&gt;130&lt;/sub&gt;Ba] || 0,106 % || stabil || &lt;br&gt; |-</v>
      </c>
    </row>
    <row r="302" spans="1:14" ht="15.95" customHeight="1">
      <c r="A302" s="17">
        <v>56</v>
      </c>
      <c r="B302" s="21" t="s">
        <v>129</v>
      </c>
      <c r="C302" s="17">
        <v>132</v>
      </c>
      <c r="D302" s="17">
        <v>0.10100000000000001</v>
      </c>
      <c r="E302" t="s">
        <v>981</v>
      </c>
      <c r="G302" t="str">
        <f t="shared" si="40"/>
        <v>[http://atom.kaeri.re.kr/cgi-bin/nuclide?nuc=Ba-132 &lt;sub&gt;132&lt;/sub&gt;Ba]</v>
      </c>
      <c r="H302" t="str">
        <f t="shared" si="41"/>
        <v>0,101 % || stabil</v>
      </c>
      <c r="I302" t="str">
        <f t="shared" si="42"/>
        <v xml:space="preserve"> | [http://atom.kaeri.re.kr/cgi-bin/nuclide?nuc=Ba-132 &lt;sub&gt;132&lt;/sub&gt;Ba] || 0,101 % || stabil || </v>
      </c>
      <c r="N302" t="str">
        <f t="shared" si="43"/>
        <v xml:space="preserve"> | [http://atom.kaeri.re.kr/cgi-bin/nuclide?nuc=Ba-132 &lt;sub&gt;132&lt;/sub&gt;Ba] || 0,101 % || stabil || &lt;br&gt; |-</v>
      </c>
    </row>
    <row r="303" spans="1:14" ht="15.95" customHeight="1">
      <c r="A303" s="17">
        <v>56</v>
      </c>
      <c r="B303" s="21" t="s">
        <v>129</v>
      </c>
      <c r="C303" s="17">
        <v>134</v>
      </c>
      <c r="D303" s="17">
        <v>2.4169999999999998</v>
      </c>
      <c r="E303" t="s">
        <v>981</v>
      </c>
      <c r="G303" t="str">
        <f t="shared" si="40"/>
        <v>[http://atom.kaeri.re.kr/cgi-bin/nuclide?nuc=Ba-134 &lt;sub&gt;134&lt;/sub&gt;Ba]</v>
      </c>
      <c r="H303" t="str">
        <f t="shared" si="41"/>
        <v>2,417 % || stabil</v>
      </c>
      <c r="I303" t="str">
        <f t="shared" si="42"/>
        <v xml:space="preserve"> | [http://atom.kaeri.re.kr/cgi-bin/nuclide?nuc=Ba-134 &lt;sub&gt;134&lt;/sub&gt;Ba] || 2,417 % || stabil || </v>
      </c>
      <c r="N303" t="str">
        <f t="shared" si="43"/>
        <v xml:space="preserve"> | [http://atom.kaeri.re.kr/cgi-bin/nuclide?nuc=Ba-134 &lt;sub&gt;134&lt;/sub&gt;Ba] || 2,417 % || stabil || &lt;br&gt; |-</v>
      </c>
    </row>
    <row r="304" spans="1:14" ht="15.95" customHeight="1">
      <c r="A304" s="17">
        <v>56</v>
      </c>
      <c r="B304" s="21" t="s">
        <v>129</v>
      </c>
      <c r="C304" s="17">
        <v>135</v>
      </c>
      <c r="D304" s="17">
        <v>6.5919999999999996</v>
      </c>
      <c r="E304" t="s">
        <v>981</v>
      </c>
      <c r="G304" t="str">
        <f t="shared" si="40"/>
        <v>[http://atom.kaeri.re.kr/cgi-bin/nuclide?nuc=Ba-135 &lt;sub&gt;135&lt;/sub&gt;Ba]</v>
      </c>
      <c r="H304" t="str">
        <f t="shared" si="41"/>
        <v>6,592 % || stabil</v>
      </c>
      <c r="I304" t="str">
        <f t="shared" si="42"/>
        <v xml:space="preserve"> | [http://atom.kaeri.re.kr/cgi-bin/nuclide?nuc=Ba-135 &lt;sub&gt;135&lt;/sub&gt;Ba] || 6,592 % || stabil || </v>
      </c>
      <c r="N304" t="str">
        <f t="shared" si="43"/>
        <v xml:space="preserve"> | [http://atom.kaeri.re.kr/cgi-bin/nuclide?nuc=Ba-135 &lt;sub&gt;135&lt;/sub&gt;Ba] || 6,592 % || stabil || &lt;br&gt; |-</v>
      </c>
    </row>
    <row r="305" spans="1:14" ht="15.95" customHeight="1">
      <c r="A305" s="17">
        <v>56</v>
      </c>
      <c r="B305" s="21" t="s">
        <v>129</v>
      </c>
      <c r="C305" s="17">
        <v>136</v>
      </c>
      <c r="D305" s="17">
        <v>7.8540000000000001</v>
      </c>
      <c r="E305" t="s">
        <v>981</v>
      </c>
      <c r="G305" t="str">
        <f t="shared" si="40"/>
        <v>[http://atom.kaeri.re.kr/cgi-bin/nuclide?nuc=Ba-136 &lt;sub&gt;136&lt;/sub&gt;Ba]</v>
      </c>
      <c r="H305" t="str">
        <f t="shared" si="41"/>
        <v>7,854 % || stabil</v>
      </c>
      <c r="I305" t="str">
        <f t="shared" si="42"/>
        <v xml:space="preserve"> | [http://atom.kaeri.re.kr/cgi-bin/nuclide?nuc=Ba-136 &lt;sub&gt;136&lt;/sub&gt;Ba] || 7,854 % || stabil || </v>
      </c>
      <c r="N305" t="str">
        <f t="shared" si="43"/>
        <v xml:space="preserve"> | [http://atom.kaeri.re.kr/cgi-bin/nuclide?nuc=Ba-136 &lt;sub&gt;136&lt;/sub&gt;Ba] || 7,854 % || stabil || &lt;br&gt; |-</v>
      </c>
    </row>
    <row r="306" spans="1:14" ht="15.95" customHeight="1">
      <c r="A306" s="17">
        <v>56</v>
      </c>
      <c r="B306" s="21" t="s">
        <v>129</v>
      </c>
      <c r="C306" s="17">
        <v>137</v>
      </c>
      <c r="D306" s="17">
        <v>11.231999999999999</v>
      </c>
      <c r="E306" t="s">
        <v>981</v>
      </c>
      <c r="G306" t="str">
        <f t="shared" si="40"/>
        <v>[http://atom.kaeri.re.kr/cgi-bin/nuclide?nuc=Ba-137 &lt;sub&gt;137&lt;/sub&gt;Ba]</v>
      </c>
      <c r="H306" t="str">
        <f t="shared" si="41"/>
        <v>11,232 % || stabil</v>
      </c>
      <c r="I306" t="str">
        <f t="shared" si="42"/>
        <v xml:space="preserve"> | [http://atom.kaeri.re.kr/cgi-bin/nuclide?nuc=Ba-137 &lt;sub&gt;137&lt;/sub&gt;Ba] || 11,232 % || stabil || </v>
      </c>
      <c r="N306" t="str">
        <f t="shared" si="43"/>
        <v xml:space="preserve"> | [http://atom.kaeri.re.kr/cgi-bin/nuclide?nuc=Ba-137 &lt;sub&gt;137&lt;/sub&gt;Ba] || 11,232 % || stabil || &lt;br&gt; |-</v>
      </c>
    </row>
    <row r="307" spans="1:14" ht="15.95" customHeight="1">
      <c r="A307" s="17">
        <v>56</v>
      </c>
      <c r="B307" s="21" t="s">
        <v>129</v>
      </c>
      <c r="C307" s="17">
        <v>138</v>
      </c>
      <c r="D307" s="17">
        <v>71.697999999999993</v>
      </c>
      <c r="E307" t="s">
        <v>981</v>
      </c>
      <c r="G307" t="str">
        <f t="shared" si="40"/>
        <v>[http://atom.kaeri.re.kr/cgi-bin/nuclide?nuc=Ba-138 &lt;sub&gt;138&lt;/sub&gt;Ba]</v>
      </c>
      <c r="H307" t="str">
        <f t="shared" si="41"/>
        <v>71,698 % || stabil</v>
      </c>
      <c r="I307" t="str">
        <f t="shared" si="42"/>
        <v xml:space="preserve"> | [http://atom.kaeri.re.kr/cgi-bin/nuclide?nuc=Ba-138 &lt;sub&gt;138&lt;/sub&gt;Ba] || 71,698 % || stabil || </v>
      </c>
      <c r="N307" t="str">
        <f t="shared" si="43"/>
        <v xml:space="preserve"> | [http://atom.kaeri.re.kr/cgi-bin/nuclide?nuc=Ba-138 &lt;sub&gt;138&lt;/sub&gt;Ba] || 71,698 % || stabil || &lt;br&gt; |-</v>
      </c>
    </row>
    <row r="308" spans="1:14" ht="15.95" customHeight="1">
      <c r="A308">
        <v>56</v>
      </c>
      <c r="B308" s="23" t="s">
        <v>129</v>
      </c>
      <c r="C308">
        <v>999</v>
      </c>
      <c r="D308" t="s">
        <v>130</v>
      </c>
      <c r="E308" t="s">
        <v>981</v>
      </c>
      <c r="N308" t="str">
        <f>CONCATENATE(" |}&lt;br&gt;* [http://atom.kaeri.re.kr/cgi-bin/nuclide?nuc=",B308," alle bekannten ",D308,"-Isotope]")</f>
        <v xml:space="preserve"> |}&lt;br&gt;* [http://atom.kaeri.re.kr/cgi-bin/nuclide?nuc=Ba alle bekannten Barium-Isotope]</v>
      </c>
    </row>
    <row r="309" spans="1:14" ht="15.95" customHeight="1">
      <c r="A309">
        <v>57</v>
      </c>
      <c r="B309" s="23" t="s">
        <v>307</v>
      </c>
      <c r="C309" s="17">
        <v>0</v>
      </c>
      <c r="D309" t="s">
        <v>308</v>
      </c>
      <c r="E309" t="s">
        <v>981</v>
      </c>
      <c r="N309" t="str">
        <f>CONCATENATE("=== [[",D309,"]] ===&lt;br&gt;{| {{tabelle}}&lt;br&gt;! Isotop !! ",$D$1," !! [[",$E$1,"]] !! ",$F$1," &lt;br&gt; |-")</f>
        <v>=== [[Lanthan]] ===&lt;br&gt;{| {{tabelle}}&lt;br&gt;! Isotop !! natürliche Häufigkeit !! [[Halbwertszeit]] !! Herkunft, techn. Bedeutung &lt;br&gt; |-</v>
      </c>
    </row>
    <row r="310" spans="1:14" ht="15.95" customHeight="1">
      <c r="A310" s="17">
        <v>57</v>
      </c>
      <c r="B310" s="21" t="s">
        <v>307</v>
      </c>
      <c r="C310" s="17">
        <v>138</v>
      </c>
      <c r="D310" s="17">
        <v>0.09</v>
      </c>
      <c r="E310" t="s">
        <v>981</v>
      </c>
      <c r="G310" t="str">
        <f>CONCATENATE("[","http://atom.kaeri.re.kr/cgi-bin/nuclide?nuc=",B310,"-",C310," &lt;sub&gt;",C310,"&lt;/sub&gt;",B310,"]")</f>
        <v>[http://atom.kaeri.re.kr/cgi-bin/nuclide?nuc=La-138 &lt;sub&gt;138&lt;/sub&gt;La]</v>
      </c>
      <c r="H310" t="str">
        <f>CONCATENATE(D310," % || ",E310)</f>
        <v>0,09 % || stabil</v>
      </c>
      <c r="I310" t="str">
        <f>CONCATENATE(" | ",G310," || ",H310," || ",F310)</f>
        <v xml:space="preserve"> | [http://atom.kaeri.re.kr/cgi-bin/nuclide?nuc=La-138 &lt;sub&gt;138&lt;/sub&gt;La] || 0,09 % || stabil || </v>
      </c>
      <c r="N310" t="str">
        <f>CONCATENATE(I310,"&lt;br&gt;"," |-")</f>
        <v xml:space="preserve"> | [http://atom.kaeri.re.kr/cgi-bin/nuclide?nuc=La-138 &lt;sub&gt;138&lt;/sub&gt;La] || 0,09 % || stabil || &lt;br&gt; |-</v>
      </c>
    </row>
    <row r="311" spans="1:14" ht="15.95" customHeight="1">
      <c r="A311" s="17">
        <v>57</v>
      </c>
      <c r="B311" s="21" t="s">
        <v>307</v>
      </c>
      <c r="C311" s="17">
        <v>139</v>
      </c>
      <c r="D311" s="17">
        <v>99.91</v>
      </c>
      <c r="E311" t="s">
        <v>981</v>
      </c>
      <c r="G311" t="str">
        <f>CONCATENATE("[","http://atom.kaeri.re.kr/cgi-bin/nuclide?nuc=",B311,"-",C311," &lt;sub&gt;",C311,"&lt;/sub&gt;",B311,"]")</f>
        <v>[http://atom.kaeri.re.kr/cgi-bin/nuclide?nuc=La-139 &lt;sub&gt;139&lt;/sub&gt;La]</v>
      </c>
      <c r="H311" t="str">
        <f>CONCATENATE(D311," % || ",E311)</f>
        <v>99,91 % || stabil</v>
      </c>
      <c r="I311" t="str">
        <f>CONCATENATE(" | ",G311," || ",H311," || ",F311)</f>
        <v xml:space="preserve"> | [http://atom.kaeri.re.kr/cgi-bin/nuclide?nuc=La-139 &lt;sub&gt;139&lt;/sub&gt;La] || 99,91 % || stabil || </v>
      </c>
      <c r="N311" t="str">
        <f>CONCATENATE(I311,"&lt;br&gt;"," |-")</f>
        <v xml:space="preserve"> | [http://atom.kaeri.re.kr/cgi-bin/nuclide?nuc=La-139 &lt;sub&gt;139&lt;/sub&gt;La] || 99,91 % || stabil || &lt;br&gt; |-</v>
      </c>
    </row>
    <row r="312" spans="1:14" ht="15.95" customHeight="1">
      <c r="A312">
        <v>57</v>
      </c>
      <c r="B312" s="23" t="s">
        <v>307</v>
      </c>
      <c r="C312">
        <v>999</v>
      </c>
      <c r="D312" t="s">
        <v>308</v>
      </c>
      <c r="E312" t="s">
        <v>981</v>
      </c>
      <c r="N312" t="str">
        <f>CONCATENATE(" |}&lt;br&gt;* [http://atom.kaeri.re.kr/cgi-bin/nuclide?nuc=",B312," alle bekannten ",D312,"-Isotope]")</f>
        <v xml:space="preserve"> |}&lt;br&gt;* [http://atom.kaeri.re.kr/cgi-bin/nuclide?nuc=La alle bekannten Lanthan-Isotope]</v>
      </c>
    </row>
    <row r="313" spans="1:14" ht="15.95" customHeight="1">
      <c r="A313">
        <v>58</v>
      </c>
      <c r="B313" s="23" t="s">
        <v>309</v>
      </c>
      <c r="C313" s="17">
        <v>0</v>
      </c>
      <c r="D313" t="s">
        <v>310</v>
      </c>
      <c r="E313" t="s">
        <v>981</v>
      </c>
      <c r="N313" t="str">
        <f>CONCATENATE("=== [[",D313,"]] ===&lt;br&gt;{| {{tabelle}}&lt;br&gt;! Isotop !! ",$D$1," !! [[",$E$1,"]] !! ",$F$1," &lt;br&gt; |-")</f>
        <v>=== [[Cer]] ===&lt;br&gt;{| {{tabelle}}&lt;br&gt;! Isotop !! natürliche Häufigkeit !! [[Halbwertszeit]] !! Herkunft, techn. Bedeutung &lt;br&gt; |-</v>
      </c>
    </row>
    <row r="314" spans="1:14" ht="15.95" customHeight="1">
      <c r="A314" s="17">
        <v>58</v>
      </c>
      <c r="B314" s="21" t="s">
        <v>309</v>
      </c>
      <c r="C314" s="17">
        <v>136</v>
      </c>
      <c r="D314" s="17">
        <v>0.185</v>
      </c>
      <c r="E314" t="s">
        <v>981</v>
      </c>
      <c r="G314" t="str">
        <f>CONCATENATE("[","http://atom.kaeri.re.kr/cgi-bin/nuclide?nuc=",B314,"-",C314," &lt;sub&gt;",C314,"&lt;/sub&gt;",B314,"]")</f>
        <v>[http://atom.kaeri.re.kr/cgi-bin/nuclide?nuc=Ce-136 &lt;sub&gt;136&lt;/sub&gt;Ce]</v>
      </c>
      <c r="H314" t="str">
        <f>CONCATENATE(D314," % || ",E314)</f>
        <v>0,185 % || stabil</v>
      </c>
      <c r="I314" t="str">
        <f>CONCATENATE(" | ",G314," || ",H314," || ",F314)</f>
        <v xml:space="preserve"> | [http://atom.kaeri.re.kr/cgi-bin/nuclide?nuc=Ce-136 &lt;sub&gt;136&lt;/sub&gt;Ce] || 0,185 % || stabil || </v>
      </c>
      <c r="N314" t="str">
        <f>CONCATENATE(I314,"&lt;br&gt;"," |-")</f>
        <v xml:space="preserve"> | [http://atom.kaeri.re.kr/cgi-bin/nuclide?nuc=Ce-136 &lt;sub&gt;136&lt;/sub&gt;Ce] || 0,185 % || stabil || &lt;br&gt; |-</v>
      </c>
    </row>
    <row r="315" spans="1:14" ht="15.95" customHeight="1">
      <c r="A315" s="17">
        <v>58</v>
      </c>
      <c r="B315" s="21" t="s">
        <v>309</v>
      </c>
      <c r="C315" s="17">
        <v>138</v>
      </c>
      <c r="D315" s="17">
        <v>0.251</v>
      </c>
      <c r="E315" t="s">
        <v>981</v>
      </c>
      <c r="G315" t="str">
        <f>CONCATENATE("[","http://atom.kaeri.re.kr/cgi-bin/nuclide?nuc=",B315,"-",C315," &lt;sub&gt;",C315,"&lt;/sub&gt;",B315,"]")</f>
        <v>[http://atom.kaeri.re.kr/cgi-bin/nuclide?nuc=Ce-138 &lt;sub&gt;138&lt;/sub&gt;Ce]</v>
      </c>
      <c r="H315" t="str">
        <f>CONCATENATE(D315," % || ",E315)</f>
        <v>0,251 % || stabil</v>
      </c>
      <c r="I315" t="str">
        <f>CONCATENATE(" | ",G315," || ",H315," || ",F315)</f>
        <v xml:space="preserve"> | [http://atom.kaeri.re.kr/cgi-bin/nuclide?nuc=Ce-138 &lt;sub&gt;138&lt;/sub&gt;Ce] || 0,251 % || stabil || </v>
      </c>
      <c r="N315" t="str">
        <f>CONCATENATE(I315,"&lt;br&gt;"," |-")</f>
        <v xml:space="preserve"> | [http://atom.kaeri.re.kr/cgi-bin/nuclide?nuc=Ce-138 &lt;sub&gt;138&lt;/sub&gt;Ce] || 0,251 % || stabil || &lt;br&gt; |-</v>
      </c>
    </row>
    <row r="316" spans="1:14" ht="15.95" customHeight="1">
      <c r="A316" s="17">
        <v>58</v>
      </c>
      <c r="B316" s="21" t="s">
        <v>309</v>
      </c>
      <c r="C316" s="17">
        <v>140</v>
      </c>
      <c r="D316" s="17">
        <v>88.45</v>
      </c>
      <c r="E316" t="s">
        <v>981</v>
      </c>
      <c r="G316" t="str">
        <f>CONCATENATE("[","http://atom.kaeri.re.kr/cgi-bin/nuclide?nuc=",B316,"-",C316," &lt;sub&gt;",C316,"&lt;/sub&gt;",B316,"]")</f>
        <v>[http://atom.kaeri.re.kr/cgi-bin/nuclide?nuc=Ce-140 &lt;sub&gt;140&lt;/sub&gt;Ce]</v>
      </c>
      <c r="H316" t="str">
        <f>CONCATENATE(D316," % || ",E316)</f>
        <v>88,45 % || stabil</v>
      </c>
      <c r="I316" t="str">
        <f>CONCATENATE(" | ",G316," || ",H316," || ",F316)</f>
        <v xml:space="preserve"> | [http://atom.kaeri.re.kr/cgi-bin/nuclide?nuc=Ce-140 &lt;sub&gt;140&lt;/sub&gt;Ce] || 88,45 % || stabil || </v>
      </c>
      <c r="N316" t="str">
        <f>CONCATENATE(I316,"&lt;br&gt;"," |-")</f>
        <v xml:space="preserve"> | [http://atom.kaeri.re.kr/cgi-bin/nuclide?nuc=Ce-140 &lt;sub&gt;140&lt;/sub&gt;Ce] || 88,45 % || stabil || &lt;br&gt; |-</v>
      </c>
    </row>
    <row r="317" spans="1:14" ht="15.95" customHeight="1">
      <c r="A317" s="17">
        <v>58</v>
      </c>
      <c r="B317" s="21" t="s">
        <v>309</v>
      </c>
      <c r="C317" s="17">
        <v>142</v>
      </c>
      <c r="D317" s="17">
        <v>11.114000000000001</v>
      </c>
      <c r="E317" t="s">
        <v>981</v>
      </c>
      <c r="G317" t="str">
        <f>CONCATENATE("[","http://atom.kaeri.re.kr/cgi-bin/nuclide?nuc=",B317,"-",C317," &lt;sub&gt;",C317,"&lt;/sub&gt;",B317,"]")</f>
        <v>[http://atom.kaeri.re.kr/cgi-bin/nuclide?nuc=Ce-142 &lt;sub&gt;142&lt;/sub&gt;Ce]</v>
      </c>
      <c r="H317" t="str">
        <f>CONCATENATE(D317," % || ",E317)</f>
        <v>11,114 % || stabil</v>
      </c>
      <c r="I317" t="str">
        <f>CONCATENATE(" | ",G317," || ",H317," || ",F317)</f>
        <v xml:space="preserve"> | [http://atom.kaeri.re.kr/cgi-bin/nuclide?nuc=Ce-142 &lt;sub&gt;142&lt;/sub&gt;Ce] || 11,114 % || stabil || </v>
      </c>
      <c r="N317" t="str">
        <f>CONCATENATE(I317,"&lt;br&gt;"," |-")</f>
        <v xml:space="preserve"> | [http://atom.kaeri.re.kr/cgi-bin/nuclide?nuc=Ce-142 &lt;sub&gt;142&lt;/sub&gt;Ce] || 11,114 % || stabil || &lt;br&gt; |-</v>
      </c>
    </row>
    <row r="318" spans="1:14" ht="15.95" customHeight="1">
      <c r="A318">
        <v>58</v>
      </c>
      <c r="B318" s="23" t="s">
        <v>309</v>
      </c>
      <c r="C318">
        <v>999</v>
      </c>
      <c r="D318" t="s">
        <v>310</v>
      </c>
      <c r="E318" t="s">
        <v>981</v>
      </c>
      <c r="N318" t="str">
        <f>CONCATENATE(" |}&lt;br&gt;* [http://atom.kaeri.re.kr/cgi-bin/nuclide?nuc=",B318," alle bekannten ",D318,"-Isotope]")</f>
        <v xml:space="preserve"> |}&lt;br&gt;* [http://atom.kaeri.re.kr/cgi-bin/nuclide?nuc=Ce alle bekannten Cer-Isotope]</v>
      </c>
    </row>
    <row r="319" spans="1:14" ht="15.95" customHeight="1">
      <c r="A319">
        <v>59</v>
      </c>
      <c r="B319" s="23" t="s">
        <v>311</v>
      </c>
      <c r="C319" s="17">
        <v>0</v>
      </c>
      <c r="D319" t="s">
        <v>312</v>
      </c>
      <c r="E319" t="s">
        <v>981</v>
      </c>
      <c r="N319" t="str">
        <f>CONCATENATE("=== [[",D319,"]] ===&lt;br&gt;{| {{tabelle}}&lt;br&gt;! Isotop !! ",$D$1," !! [[",$E$1,"]] !! ",$F$1," &lt;br&gt; |-")</f>
        <v>=== [[Praseodym]] ===&lt;br&gt;{| {{tabelle}}&lt;br&gt;! Isotop !! natürliche Häufigkeit !! [[Halbwertszeit]] !! Herkunft, techn. Bedeutung &lt;br&gt; |-</v>
      </c>
    </row>
    <row r="320" spans="1:14" ht="15.95" customHeight="1">
      <c r="A320" s="17">
        <v>59</v>
      </c>
      <c r="B320" s="21" t="s">
        <v>311</v>
      </c>
      <c r="C320" s="17">
        <v>141</v>
      </c>
      <c r="D320" s="17">
        <v>100</v>
      </c>
      <c r="E320" t="s">
        <v>981</v>
      </c>
      <c r="G320" t="str">
        <f>CONCATENATE("[","http://atom.kaeri.re.kr/cgi-bin/nuclide?nuc=",B320,"-",C320," &lt;sub&gt;",C320,"&lt;/sub&gt;",B320,"]")</f>
        <v>[http://atom.kaeri.re.kr/cgi-bin/nuclide?nuc=Pr-141 &lt;sub&gt;141&lt;/sub&gt;Pr]</v>
      </c>
      <c r="H320" t="str">
        <f>CONCATENATE(D320," % || ",E320)</f>
        <v>100 % || stabil</v>
      </c>
      <c r="I320" t="str">
        <f>CONCATENATE(" | ",G320," || ",H320," || ",F320)</f>
        <v xml:space="preserve"> | [http://atom.kaeri.re.kr/cgi-bin/nuclide?nuc=Pr-141 &lt;sub&gt;141&lt;/sub&gt;Pr] || 100 % || stabil || </v>
      </c>
      <c r="N320" t="str">
        <f>CONCATENATE(I320,"&lt;br&gt;"," |-")</f>
        <v xml:space="preserve"> | [http://atom.kaeri.re.kr/cgi-bin/nuclide?nuc=Pr-141 &lt;sub&gt;141&lt;/sub&gt;Pr] || 100 % || stabil || &lt;br&gt; |-</v>
      </c>
    </row>
    <row r="321" spans="1:14" ht="15.95" customHeight="1">
      <c r="A321">
        <v>59</v>
      </c>
      <c r="B321" s="23" t="s">
        <v>311</v>
      </c>
      <c r="C321">
        <v>999</v>
      </c>
      <c r="D321" t="s">
        <v>312</v>
      </c>
      <c r="E321" t="s">
        <v>981</v>
      </c>
      <c r="N321" t="str">
        <f>CONCATENATE(" |}&lt;br&gt;* [http://atom.kaeri.re.kr/cgi-bin/nuclide?nuc=",B321," alle bekannten ",D321,"-Isotope]")</f>
        <v xml:space="preserve"> |}&lt;br&gt;* [http://atom.kaeri.re.kr/cgi-bin/nuclide?nuc=Pr alle bekannten Praseodym-Isotope]</v>
      </c>
    </row>
    <row r="322" spans="1:14" ht="15.95" customHeight="1">
      <c r="A322">
        <v>60</v>
      </c>
      <c r="B322" s="23" t="s">
        <v>315</v>
      </c>
      <c r="C322" s="17">
        <v>0</v>
      </c>
      <c r="D322" t="s">
        <v>316</v>
      </c>
      <c r="E322" t="s">
        <v>981</v>
      </c>
      <c r="N322" t="str">
        <f>CONCATENATE("=== [[",D322,"]] ===&lt;br&gt;{| {{tabelle}}&lt;br&gt;! Isotop !! ",$D$1," !! [[",$E$1,"]] !! ",$F$1," &lt;br&gt; |-")</f>
        <v>=== [[Neodym]] ===&lt;br&gt;{| {{tabelle}}&lt;br&gt;! Isotop !! natürliche Häufigkeit !! [[Halbwertszeit]] !! Herkunft, techn. Bedeutung &lt;br&gt; |-</v>
      </c>
    </row>
    <row r="323" spans="1:14" ht="15.95" customHeight="1">
      <c r="A323" s="17">
        <v>60</v>
      </c>
      <c r="B323" s="21" t="s">
        <v>315</v>
      </c>
      <c r="C323" s="17">
        <v>142</v>
      </c>
      <c r="D323" s="17">
        <v>27.2</v>
      </c>
      <c r="E323" t="s">
        <v>981</v>
      </c>
      <c r="G323" t="str">
        <f t="shared" ref="G323:G329" si="44">CONCATENATE("[","http://atom.kaeri.re.kr/cgi-bin/nuclide?nuc=",B323,"-",C323," &lt;sub&gt;",C323,"&lt;/sub&gt;",B323,"]")</f>
        <v>[http://atom.kaeri.re.kr/cgi-bin/nuclide?nuc=Nd-142 &lt;sub&gt;142&lt;/sub&gt;Nd]</v>
      </c>
      <c r="H323" t="str">
        <f t="shared" ref="H323:H329" si="45">CONCATENATE(D323," % || ",E323)</f>
        <v>27,2 % || stabil</v>
      </c>
      <c r="I323" t="str">
        <f t="shared" ref="I323:I329" si="46">CONCATENATE(" | ",G323," || ",H323," || ",F323)</f>
        <v xml:space="preserve"> | [http://atom.kaeri.re.kr/cgi-bin/nuclide?nuc=Nd-142 &lt;sub&gt;142&lt;/sub&gt;Nd] || 27,2 % || stabil || </v>
      </c>
      <c r="N323" t="str">
        <f t="shared" ref="N323:N329" si="47">CONCATENATE(I323,"&lt;br&gt;"," |-")</f>
        <v xml:space="preserve"> | [http://atom.kaeri.re.kr/cgi-bin/nuclide?nuc=Nd-142 &lt;sub&gt;142&lt;/sub&gt;Nd] || 27,2 % || stabil || &lt;br&gt; |-</v>
      </c>
    </row>
    <row r="324" spans="1:14" ht="15.95" customHeight="1">
      <c r="A324" s="17">
        <v>60</v>
      </c>
      <c r="B324" s="21" t="s">
        <v>315</v>
      </c>
      <c r="C324" s="17">
        <v>143</v>
      </c>
      <c r="D324" s="17">
        <v>12.2</v>
      </c>
      <c r="E324" t="s">
        <v>981</v>
      </c>
      <c r="G324" t="str">
        <f t="shared" si="44"/>
        <v>[http://atom.kaeri.re.kr/cgi-bin/nuclide?nuc=Nd-143 &lt;sub&gt;143&lt;/sub&gt;Nd]</v>
      </c>
      <c r="H324" t="str">
        <f t="shared" si="45"/>
        <v>12,2 % || stabil</v>
      </c>
      <c r="I324" t="str">
        <f t="shared" si="46"/>
        <v xml:space="preserve"> | [http://atom.kaeri.re.kr/cgi-bin/nuclide?nuc=Nd-143 &lt;sub&gt;143&lt;/sub&gt;Nd] || 12,2 % || stabil || </v>
      </c>
      <c r="N324" t="str">
        <f t="shared" si="47"/>
        <v xml:space="preserve"> | [http://atom.kaeri.re.kr/cgi-bin/nuclide?nuc=Nd-143 &lt;sub&gt;143&lt;/sub&gt;Nd] || 12,2 % || stabil || &lt;br&gt; |-</v>
      </c>
    </row>
    <row r="325" spans="1:14" ht="15.95" customHeight="1">
      <c r="A325" s="17">
        <v>60</v>
      </c>
      <c r="B325" s="21" t="s">
        <v>315</v>
      </c>
      <c r="C325" s="17">
        <v>144</v>
      </c>
      <c r="D325" s="17">
        <v>23.8</v>
      </c>
      <c r="E325" t="s">
        <v>981</v>
      </c>
      <c r="G325" t="str">
        <f t="shared" si="44"/>
        <v>[http://atom.kaeri.re.kr/cgi-bin/nuclide?nuc=Nd-144 &lt;sub&gt;144&lt;/sub&gt;Nd]</v>
      </c>
      <c r="H325" t="str">
        <f t="shared" si="45"/>
        <v>23,8 % || stabil</v>
      </c>
      <c r="I325" t="str">
        <f t="shared" si="46"/>
        <v xml:space="preserve"> | [http://atom.kaeri.re.kr/cgi-bin/nuclide?nuc=Nd-144 &lt;sub&gt;144&lt;/sub&gt;Nd] || 23,8 % || stabil || </v>
      </c>
      <c r="N325" t="str">
        <f t="shared" si="47"/>
        <v xml:space="preserve"> | [http://atom.kaeri.re.kr/cgi-bin/nuclide?nuc=Nd-144 &lt;sub&gt;144&lt;/sub&gt;Nd] || 23,8 % || stabil || &lt;br&gt; |-</v>
      </c>
    </row>
    <row r="326" spans="1:14" ht="15.95" customHeight="1">
      <c r="A326" s="17">
        <v>60</v>
      </c>
      <c r="B326" s="21" t="s">
        <v>315</v>
      </c>
      <c r="C326" s="17">
        <v>145</v>
      </c>
      <c r="D326" s="17">
        <v>8.3000000000000007</v>
      </c>
      <c r="E326" t="s">
        <v>981</v>
      </c>
      <c r="G326" t="str">
        <f t="shared" si="44"/>
        <v>[http://atom.kaeri.re.kr/cgi-bin/nuclide?nuc=Nd-145 &lt;sub&gt;145&lt;/sub&gt;Nd]</v>
      </c>
      <c r="H326" t="str">
        <f t="shared" si="45"/>
        <v>8,3 % || stabil</v>
      </c>
      <c r="I326" t="str">
        <f t="shared" si="46"/>
        <v xml:space="preserve"> | [http://atom.kaeri.re.kr/cgi-bin/nuclide?nuc=Nd-145 &lt;sub&gt;145&lt;/sub&gt;Nd] || 8,3 % || stabil || </v>
      </c>
      <c r="N326" t="str">
        <f t="shared" si="47"/>
        <v xml:space="preserve"> | [http://atom.kaeri.re.kr/cgi-bin/nuclide?nuc=Nd-145 &lt;sub&gt;145&lt;/sub&gt;Nd] || 8,3 % || stabil || &lt;br&gt; |-</v>
      </c>
    </row>
    <row r="327" spans="1:14" ht="15.95" customHeight="1">
      <c r="A327" s="17">
        <v>60</v>
      </c>
      <c r="B327" s="21" t="s">
        <v>315</v>
      </c>
      <c r="C327" s="17">
        <v>146</v>
      </c>
      <c r="D327" s="17">
        <v>17.2</v>
      </c>
      <c r="E327" t="s">
        <v>981</v>
      </c>
      <c r="G327" t="str">
        <f t="shared" si="44"/>
        <v>[http://atom.kaeri.re.kr/cgi-bin/nuclide?nuc=Nd-146 &lt;sub&gt;146&lt;/sub&gt;Nd]</v>
      </c>
      <c r="H327" t="str">
        <f t="shared" si="45"/>
        <v>17,2 % || stabil</v>
      </c>
      <c r="I327" t="str">
        <f t="shared" si="46"/>
        <v xml:space="preserve"> | [http://atom.kaeri.re.kr/cgi-bin/nuclide?nuc=Nd-146 &lt;sub&gt;146&lt;/sub&gt;Nd] || 17,2 % || stabil || </v>
      </c>
      <c r="N327" t="str">
        <f t="shared" si="47"/>
        <v xml:space="preserve"> | [http://atom.kaeri.re.kr/cgi-bin/nuclide?nuc=Nd-146 &lt;sub&gt;146&lt;/sub&gt;Nd] || 17,2 % || stabil || &lt;br&gt; |-</v>
      </c>
    </row>
    <row r="328" spans="1:14" ht="15.95" customHeight="1">
      <c r="A328" s="17">
        <v>60</v>
      </c>
      <c r="B328" s="21" t="s">
        <v>315</v>
      </c>
      <c r="C328" s="17">
        <v>148</v>
      </c>
      <c r="D328" s="17">
        <v>5.7</v>
      </c>
      <c r="E328" t="s">
        <v>981</v>
      </c>
      <c r="G328" t="str">
        <f t="shared" si="44"/>
        <v>[http://atom.kaeri.re.kr/cgi-bin/nuclide?nuc=Nd-148 &lt;sub&gt;148&lt;/sub&gt;Nd]</v>
      </c>
      <c r="H328" t="str">
        <f t="shared" si="45"/>
        <v>5,7 % || stabil</v>
      </c>
      <c r="I328" t="str">
        <f t="shared" si="46"/>
        <v xml:space="preserve"> | [http://atom.kaeri.re.kr/cgi-bin/nuclide?nuc=Nd-148 &lt;sub&gt;148&lt;/sub&gt;Nd] || 5,7 % || stabil || </v>
      </c>
      <c r="N328" t="str">
        <f t="shared" si="47"/>
        <v xml:space="preserve"> | [http://atom.kaeri.re.kr/cgi-bin/nuclide?nuc=Nd-148 &lt;sub&gt;148&lt;/sub&gt;Nd] || 5,7 % || stabil || &lt;br&gt; |-</v>
      </c>
    </row>
    <row r="329" spans="1:14" ht="15.95" customHeight="1">
      <c r="A329" s="17">
        <v>60</v>
      </c>
      <c r="B329" s="21" t="s">
        <v>315</v>
      </c>
      <c r="C329" s="17">
        <v>150</v>
      </c>
      <c r="D329" s="17">
        <v>5.6</v>
      </c>
      <c r="E329" t="s">
        <v>981</v>
      </c>
      <c r="G329" t="str">
        <f t="shared" si="44"/>
        <v>[http://atom.kaeri.re.kr/cgi-bin/nuclide?nuc=Nd-150 &lt;sub&gt;150&lt;/sub&gt;Nd]</v>
      </c>
      <c r="H329" t="str">
        <f t="shared" si="45"/>
        <v>5,6 % || stabil</v>
      </c>
      <c r="I329" t="str">
        <f t="shared" si="46"/>
        <v xml:space="preserve"> | [http://atom.kaeri.re.kr/cgi-bin/nuclide?nuc=Nd-150 &lt;sub&gt;150&lt;/sub&gt;Nd] || 5,6 % || stabil || </v>
      </c>
      <c r="N329" t="str">
        <f t="shared" si="47"/>
        <v xml:space="preserve"> | [http://atom.kaeri.re.kr/cgi-bin/nuclide?nuc=Nd-150 &lt;sub&gt;150&lt;/sub&gt;Nd] || 5,6 % || stabil || &lt;br&gt; |-</v>
      </c>
    </row>
    <row r="330" spans="1:14" ht="15.95" customHeight="1">
      <c r="A330">
        <v>60</v>
      </c>
      <c r="B330" s="23" t="s">
        <v>315</v>
      </c>
      <c r="C330">
        <v>999</v>
      </c>
      <c r="D330" t="s">
        <v>316</v>
      </c>
      <c r="E330" t="s">
        <v>981</v>
      </c>
      <c r="N330" t="str">
        <f>CONCATENATE(" |}&lt;br&gt;* [http://atom.kaeri.re.kr/cgi-bin/nuclide?nuc=",B330," alle bekannten ",D330,"-Isotope]")</f>
        <v xml:space="preserve"> |}&lt;br&gt;* [http://atom.kaeri.re.kr/cgi-bin/nuclide?nuc=Nd alle bekannten Neodym-Isotope]</v>
      </c>
    </row>
    <row r="331" spans="1:14" ht="15.95" customHeight="1">
      <c r="A331">
        <v>61</v>
      </c>
      <c r="B331" s="23" t="s">
        <v>318</v>
      </c>
      <c r="C331" s="17">
        <v>0</v>
      </c>
      <c r="D331" t="s">
        <v>319</v>
      </c>
      <c r="E331" t="s">
        <v>981</v>
      </c>
      <c r="N331" t="str">
        <f>CONCATENATE("=== [[",D331,"]] ===&lt;br&gt;{| {{tabelle}}&lt;br&gt;! Isotop !! ",$D$1," !! [[",$E$1,"]] !! ",$F$1," &lt;br&gt; |-")</f>
        <v>=== [[Promethium]] ===&lt;br&gt;{| {{tabelle}}&lt;br&gt;! Isotop !! natürliche Häufigkeit !! [[Halbwertszeit]] !! Herkunft, techn. Bedeutung &lt;br&gt; |-</v>
      </c>
    </row>
    <row r="332" spans="1:14" s="18" customFormat="1" ht="15.95" customHeight="1">
      <c r="A332">
        <v>61</v>
      </c>
      <c r="B332" s="23" t="s">
        <v>318</v>
      </c>
      <c r="C332" s="19">
        <v>147</v>
      </c>
      <c r="D332" s="18" t="s">
        <v>874</v>
      </c>
      <c r="E332" t="s">
        <v>938</v>
      </c>
      <c r="F332" t="s">
        <v>1001</v>
      </c>
      <c r="G332" t="str">
        <f>CONCATENATE("[","http://atom.kaeri.re.kr/cgi-bin/nuclide?nuc=",B332,"-",C332," &lt;sub&gt;",C332,"&lt;/sub&gt;",B332,"]")</f>
        <v>[http://atom.kaeri.re.kr/cgi-bin/nuclide?nuc=Pm-147 &lt;sub&gt;147&lt;/sub&gt;Pm]</v>
      </c>
      <c r="H332" t="str">
        <f>CONCATENATE(D332," % || ",E332)</f>
        <v>- % || 2,6 Jahre</v>
      </c>
      <c r="I332" t="str">
        <f>CONCATENATE(" | ",G332," || ",H332," || ",F332)</f>
        <v xml:space="preserve"> | [http://atom.kaeri.re.kr/cgi-bin/nuclide?nuc=Pm-147 &lt;sub&gt;147&lt;/sub&gt;Pm] || - % || 2,6 Jahre || [[radioaktiv]], Leuchtfarben</v>
      </c>
      <c r="J332"/>
      <c r="K332"/>
      <c r="L332"/>
      <c r="M332"/>
      <c r="N332" t="str">
        <f>CONCATENATE(I332,"&lt;br&gt;"," |-")</f>
        <v xml:space="preserve"> | [http://atom.kaeri.re.kr/cgi-bin/nuclide?nuc=Pm-147 &lt;sub&gt;147&lt;/sub&gt;Pm] || - % || 2,6 Jahre || [[radioaktiv]], Leuchtfarben&lt;br&gt; |-</v>
      </c>
    </row>
    <row r="333" spans="1:14" ht="15.95" customHeight="1">
      <c r="A333">
        <v>61</v>
      </c>
      <c r="B333" s="23" t="s">
        <v>318</v>
      </c>
      <c r="C333">
        <v>999</v>
      </c>
      <c r="D333" t="s">
        <v>319</v>
      </c>
      <c r="E333" t="s">
        <v>981</v>
      </c>
      <c r="N333" t="str">
        <f>CONCATENATE(" |}&lt;br&gt;* [http://atom.kaeri.re.kr/cgi-bin/nuclide?nuc=",B333," alle bekannten ",D333,"-Isotope]")</f>
        <v xml:space="preserve"> |}&lt;br&gt;* [http://atom.kaeri.re.kr/cgi-bin/nuclide?nuc=Pm alle bekannten Promethium-Isotope]</v>
      </c>
    </row>
    <row r="334" spans="1:14" ht="15.95" customHeight="1">
      <c r="A334">
        <v>62</v>
      </c>
      <c r="B334" s="23" t="s">
        <v>321</v>
      </c>
      <c r="C334" s="17">
        <v>0</v>
      </c>
      <c r="D334" t="s">
        <v>322</v>
      </c>
      <c r="E334" t="s">
        <v>981</v>
      </c>
      <c r="N334" t="str">
        <f>CONCATENATE("=== [[",D334,"]] ===&lt;br&gt;{| {{tabelle}}&lt;br&gt;! Isotop !! ",$D$1," !! [[",$E$1,"]] !! ",$F$1," &lt;br&gt; |-")</f>
        <v>=== [[Samarium]] ===&lt;br&gt;{| {{tabelle}}&lt;br&gt;! Isotop !! natürliche Häufigkeit !! [[Halbwertszeit]] !! Herkunft, techn. Bedeutung &lt;br&gt; |-</v>
      </c>
    </row>
    <row r="335" spans="1:14" ht="15.95" customHeight="1">
      <c r="A335" s="17">
        <v>62</v>
      </c>
      <c r="B335" s="21" t="s">
        <v>321</v>
      </c>
      <c r="C335" s="17">
        <v>144</v>
      </c>
      <c r="D335" s="17">
        <v>3.07</v>
      </c>
      <c r="E335" t="s">
        <v>981</v>
      </c>
      <c r="G335" t="str">
        <f t="shared" ref="G335:G341" si="48">CONCATENATE("[","http://atom.kaeri.re.kr/cgi-bin/nuclide?nuc=",B335,"-",C335," &lt;sub&gt;",C335,"&lt;/sub&gt;",B335,"]")</f>
        <v>[http://atom.kaeri.re.kr/cgi-bin/nuclide?nuc=Sm-144 &lt;sub&gt;144&lt;/sub&gt;Sm]</v>
      </c>
      <c r="H335" t="str">
        <f t="shared" ref="H335:H341" si="49">CONCATENATE(D335," % || ",E335)</f>
        <v>3,07 % || stabil</v>
      </c>
      <c r="I335" t="str">
        <f t="shared" ref="I335:I341" si="50">CONCATENATE(" | ",G335," || ",H335," || ",F335)</f>
        <v xml:space="preserve"> | [http://atom.kaeri.re.kr/cgi-bin/nuclide?nuc=Sm-144 &lt;sub&gt;144&lt;/sub&gt;Sm] || 3,07 % || stabil || </v>
      </c>
      <c r="N335" t="str">
        <f t="shared" ref="N335:N341" si="51">CONCATENATE(I335,"&lt;br&gt;"," |-")</f>
        <v xml:space="preserve"> | [http://atom.kaeri.re.kr/cgi-bin/nuclide?nuc=Sm-144 &lt;sub&gt;144&lt;/sub&gt;Sm] || 3,07 % || stabil || &lt;br&gt; |-</v>
      </c>
    </row>
    <row r="336" spans="1:14" ht="15.95" customHeight="1">
      <c r="A336" s="17">
        <v>62</v>
      </c>
      <c r="B336" s="21" t="s">
        <v>321</v>
      </c>
      <c r="C336" s="17">
        <v>147</v>
      </c>
      <c r="D336" s="17">
        <v>14.99</v>
      </c>
      <c r="E336" t="s">
        <v>981</v>
      </c>
      <c r="G336" t="str">
        <f t="shared" si="48"/>
        <v>[http://atom.kaeri.re.kr/cgi-bin/nuclide?nuc=Sm-147 &lt;sub&gt;147&lt;/sub&gt;Sm]</v>
      </c>
      <c r="H336" t="str">
        <f t="shared" si="49"/>
        <v>14,99 % || stabil</v>
      </c>
      <c r="I336" t="str">
        <f t="shared" si="50"/>
        <v xml:space="preserve"> | [http://atom.kaeri.re.kr/cgi-bin/nuclide?nuc=Sm-147 &lt;sub&gt;147&lt;/sub&gt;Sm] || 14,99 % || stabil || </v>
      </c>
      <c r="N336" t="str">
        <f t="shared" si="51"/>
        <v xml:space="preserve"> | [http://atom.kaeri.re.kr/cgi-bin/nuclide?nuc=Sm-147 &lt;sub&gt;147&lt;/sub&gt;Sm] || 14,99 % || stabil || &lt;br&gt; |-</v>
      </c>
    </row>
    <row r="337" spans="1:14" ht="15.95" customHeight="1">
      <c r="A337" s="17">
        <v>62</v>
      </c>
      <c r="B337" s="21" t="s">
        <v>321</v>
      </c>
      <c r="C337" s="17">
        <v>148</v>
      </c>
      <c r="D337" s="17">
        <v>11.24</v>
      </c>
      <c r="E337" t="s">
        <v>981</v>
      </c>
      <c r="G337" t="str">
        <f t="shared" si="48"/>
        <v>[http://atom.kaeri.re.kr/cgi-bin/nuclide?nuc=Sm-148 &lt;sub&gt;148&lt;/sub&gt;Sm]</v>
      </c>
      <c r="H337" t="str">
        <f t="shared" si="49"/>
        <v>11,24 % || stabil</v>
      </c>
      <c r="I337" t="str">
        <f t="shared" si="50"/>
        <v xml:space="preserve"> | [http://atom.kaeri.re.kr/cgi-bin/nuclide?nuc=Sm-148 &lt;sub&gt;148&lt;/sub&gt;Sm] || 11,24 % || stabil || </v>
      </c>
      <c r="N337" t="str">
        <f t="shared" si="51"/>
        <v xml:space="preserve"> | [http://atom.kaeri.re.kr/cgi-bin/nuclide?nuc=Sm-148 &lt;sub&gt;148&lt;/sub&gt;Sm] || 11,24 % || stabil || &lt;br&gt; |-</v>
      </c>
    </row>
    <row r="338" spans="1:14" ht="15.95" customHeight="1">
      <c r="A338" s="17">
        <v>62</v>
      </c>
      <c r="B338" s="21" t="s">
        <v>321</v>
      </c>
      <c r="C338" s="17">
        <v>149</v>
      </c>
      <c r="D338" s="17">
        <v>13.82</v>
      </c>
      <c r="E338" t="s">
        <v>981</v>
      </c>
      <c r="G338" t="str">
        <f t="shared" si="48"/>
        <v>[http://atom.kaeri.re.kr/cgi-bin/nuclide?nuc=Sm-149 &lt;sub&gt;149&lt;/sub&gt;Sm]</v>
      </c>
      <c r="H338" t="str">
        <f t="shared" si="49"/>
        <v>13,82 % || stabil</v>
      </c>
      <c r="I338" t="str">
        <f t="shared" si="50"/>
        <v xml:space="preserve"> | [http://atom.kaeri.re.kr/cgi-bin/nuclide?nuc=Sm-149 &lt;sub&gt;149&lt;/sub&gt;Sm] || 13,82 % || stabil || </v>
      </c>
      <c r="N338" t="str">
        <f t="shared" si="51"/>
        <v xml:space="preserve"> | [http://atom.kaeri.re.kr/cgi-bin/nuclide?nuc=Sm-149 &lt;sub&gt;149&lt;/sub&gt;Sm] || 13,82 % || stabil || &lt;br&gt; |-</v>
      </c>
    </row>
    <row r="339" spans="1:14" ht="15.95" customHeight="1">
      <c r="A339" s="17">
        <v>62</v>
      </c>
      <c r="B339" s="21" t="s">
        <v>321</v>
      </c>
      <c r="C339" s="17">
        <v>150</v>
      </c>
      <c r="D339" s="17">
        <v>7.38</v>
      </c>
      <c r="E339" t="s">
        <v>981</v>
      </c>
      <c r="G339" t="str">
        <f t="shared" si="48"/>
        <v>[http://atom.kaeri.re.kr/cgi-bin/nuclide?nuc=Sm-150 &lt;sub&gt;150&lt;/sub&gt;Sm]</v>
      </c>
      <c r="H339" t="str">
        <f t="shared" si="49"/>
        <v>7,38 % || stabil</v>
      </c>
      <c r="I339" t="str">
        <f t="shared" si="50"/>
        <v xml:space="preserve"> | [http://atom.kaeri.re.kr/cgi-bin/nuclide?nuc=Sm-150 &lt;sub&gt;150&lt;/sub&gt;Sm] || 7,38 % || stabil || </v>
      </c>
      <c r="N339" t="str">
        <f t="shared" si="51"/>
        <v xml:space="preserve"> | [http://atom.kaeri.re.kr/cgi-bin/nuclide?nuc=Sm-150 &lt;sub&gt;150&lt;/sub&gt;Sm] || 7,38 % || stabil || &lt;br&gt; |-</v>
      </c>
    </row>
    <row r="340" spans="1:14" ht="15.95" customHeight="1">
      <c r="A340" s="17">
        <v>62</v>
      </c>
      <c r="B340" s="21" t="s">
        <v>321</v>
      </c>
      <c r="C340" s="17">
        <v>152</v>
      </c>
      <c r="D340" s="17">
        <v>26.75</v>
      </c>
      <c r="E340" t="s">
        <v>981</v>
      </c>
      <c r="G340" t="str">
        <f t="shared" si="48"/>
        <v>[http://atom.kaeri.re.kr/cgi-bin/nuclide?nuc=Sm-152 &lt;sub&gt;152&lt;/sub&gt;Sm]</v>
      </c>
      <c r="H340" t="str">
        <f t="shared" si="49"/>
        <v>26,75 % || stabil</v>
      </c>
      <c r="I340" t="str">
        <f t="shared" si="50"/>
        <v xml:space="preserve"> | [http://atom.kaeri.re.kr/cgi-bin/nuclide?nuc=Sm-152 &lt;sub&gt;152&lt;/sub&gt;Sm] || 26,75 % || stabil || </v>
      </c>
      <c r="N340" t="str">
        <f t="shared" si="51"/>
        <v xml:space="preserve"> | [http://atom.kaeri.re.kr/cgi-bin/nuclide?nuc=Sm-152 &lt;sub&gt;152&lt;/sub&gt;Sm] || 26,75 % || stabil || &lt;br&gt; |-</v>
      </c>
    </row>
    <row r="341" spans="1:14" ht="15.95" customHeight="1">
      <c r="A341" s="17">
        <v>62</v>
      </c>
      <c r="B341" s="21" t="s">
        <v>321</v>
      </c>
      <c r="C341" s="17">
        <v>154</v>
      </c>
      <c r="D341" s="17">
        <v>22.75</v>
      </c>
      <c r="E341" t="s">
        <v>981</v>
      </c>
      <c r="G341" t="str">
        <f t="shared" si="48"/>
        <v>[http://atom.kaeri.re.kr/cgi-bin/nuclide?nuc=Sm-154 &lt;sub&gt;154&lt;/sub&gt;Sm]</v>
      </c>
      <c r="H341" t="str">
        <f t="shared" si="49"/>
        <v>22,75 % || stabil</v>
      </c>
      <c r="I341" t="str">
        <f t="shared" si="50"/>
        <v xml:space="preserve"> | [http://atom.kaeri.re.kr/cgi-bin/nuclide?nuc=Sm-154 &lt;sub&gt;154&lt;/sub&gt;Sm] || 22,75 % || stabil || </v>
      </c>
      <c r="N341" t="str">
        <f t="shared" si="51"/>
        <v xml:space="preserve"> | [http://atom.kaeri.re.kr/cgi-bin/nuclide?nuc=Sm-154 &lt;sub&gt;154&lt;/sub&gt;Sm] || 22,75 % || stabil || &lt;br&gt; |-</v>
      </c>
    </row>
    <row r="342" spans="1:14" ht="15.95" customHeight="1">
      <c r="A342">
        <v>62</v>
      </c>
      <c r="B342" s="23" t="s">
        <v>321</v>
      </c>
      <c r="C342">
        <v>999</v>
      </c>
      <c r="D342" t="s">
        <v>322</v>
      </c>
      <c r="E342" t="s">
        <v>981</v>
      </c>
      <c r="N342" t="str">
        <f>CONCATENATE(" |}&lt;br&gt;* [http://atom.kaeri.re.kr/cgi-bin/nuclide?nuc=",B342," alle bekannten ",D342,"-Isotope]")</f>
        <v xml:space="preserve"> |}&lt;br&gt;* [http://atom.kaeri.re.kr/cgi-bin/nuclide?nuc=Sm alle bekannten Samarium-Isotope]</v>
      </c>
    </row>
    <row r="343" spans="1:14" ht="15.95" customHeight="1">
      <c r="A343">
        <v>63</v>
      </c>
      <c r="B343" s="23" t="s">
        <v>324</v>
      </c>
      <c r="C343" s="17">
        <v>0</v>
      </c>
      <c r="D343" t="s">
        <v>325</v>
      </c>
      <c r="E343" t="s">
        <v>981</v>
      </c>
      <c r="N343" t="str">
        <f>CONCATENATE("=== [[",D343,"]] ===&lt;br&gt;{| {{tabelle}}&lt;br&gt;! Isotop !! ",$D$1," !! [[",$E$1,"]] !! ",$F$1," &lt;br&gt; |-")</f>
        <v>=== [[Europium]] ===&lt;br&gt;{| {{tabelle}}&lt;br&gt;! Isotop !! natürliche Häufigkeit !! [[Halbwertszeit]] !! Herkunft, techn. Bedeutung &lt;br&gt; |-</v>
      </c>
    </row>
    <row r="344" spans="1:14" ht="15.95" customHeight="1">
      <c r="A344" s="17">
        <v>63</v>
      </c>
      <c r="B344" s="21" t="s">
        <v>324</v>
      </c>
      <c r="C344" s="17">
        <v>151</v>
      </c>
      <c r="D344" s="17">
        <v>47.81</v>
      </c>
      <c r="E344" t="s">
        <v>981</v>
      </c>
      <c r="G344" t="str">
        <f>CONCATENATE("[","http://atom.kaeri.re.kr/cgi-bin/nuclide?nuc=",B344,"-",C344," &lt;sub&gt;",C344,"&lt;/sub&gt;",B344,"]")</f>
        <v>[http://atom.kaeri.re.kr/cgi-bin/nuclide?nuc=Eu-151 &lt;sub&gt;151&lt;/sub&gt;Eu]</v>
      </c>
      <c r="H344" t="str">
        <f>CONCATENATE(D344," % || ",E344)</f>
        <v>47,81 % || stabil</v>
      </c>
      <c r="I344" t="str">
        <f>CONCATENATE(" | ",G344," || ",H344," || ",F344)</f>
        <v xml:space="preserve"> | [http://atom.kaeri.re.kr/cgi-bin/nuclide?nuc=Eu-151 &lt;sub&gt;151&lt;/sub&gt;Eu] || 47,81 % || stabil || </v>
      </c>
      <c r="N344" t="str">
        <f>CONCATENATE(I344,"&lt;br&gt;"," |-")</f>
        <v xml:space="preserve"> | [http://atom.kaeri.re.kr/cgi-bin/nuclide?nuc=Eu-151 &lt;sub&gt;151&lt;/sub&gt;Eu] || 47,81 % || stabil || &lt;br&gt; |-</v>
      </c>
    </row>
    <row r="345" spans="1:14" ht="15.95" customHeight="1">
      <c r="A345" s="17">
        <v>63</v>
      </c>
      <c r="B345" s="21" t="s">
        <v>324</v>
      </c>
      <c r="C345" s="17">
        <v>153</v>
      </c>
      <c r="D345" s="17">
        <v>52.19</v>
      </c>
      <c r="E345" t="s">
        <v>981</v>
      </c>
      <c r="G345" t="str">
        <f>CONCATENATE("[","http://atom.kaeri.re.kr/cgi-bin/nuclide?nuc=",B345,"-",C345," &lt;sub&gt;",C345,"&lt;/sub&gt;",B345,"]")</f>
        <v>[http://atom.kaeri.re.kr/cgi-bin/nuclide?nuc=Eu-153 &lt;sub&gt;153&lt;/sub&gt;Eu]</v>
      </c>
      <c r="H345" t="str">
        <f>CONCATENATE(D345," % || ",E345)</f>
        <v>52,19 % || stabil</v>
      </c>
      <c r="I345" t="str">
        <f>CONCATENATE(" | ",G345," || ",H345," || ",F345)</f>
        <v xml:space="preserve"> | [http://atom.kaeri.re.kr/cgi-bin/nuclide?nuc=Eu-153 &lt;sub&gt;153&lt;/sub&gt;Eu] || 52,19 % || stabil || </v>
      </c>
      <c r="N345" t="str">
        <f>CONCATENATE(I345,"&lt;br&gt;"," |-")</f>
        <v xml:space="preserve"> | [http://atom.kaeri.re.kr/cgi-bin/nuclide?nuc=Eu-153 &lt;sub&gt;153&lt;/sub&gt;Eu] || 52,19 % || stabil || &lt;br&gt; |-</v>
      </c>
    </row>
    <row r="346" spans="1:14" ht="15.95" customHeight="1">
      <c r="A346">
        <v>63</v>
      </c>
      <c r="B346" s="23" t="s">
        <v>324</v>
      </c>
      <c r="C346">
        <v>999</v>
      </c>
      <c r="D346" t="s">
        <v>325</v>
      </c>
      <c r="E346" t="s">
        <v>981</v>
      </c>
      <c r="N346" t="str">
        <f>CONCATENATE(" |}&lt;br&gt;* [http://atom.kaeri.re.kr/cgi-bin/nuclide?nuc=",B346," alle bekannten ",D346,"-Isotope]")</f>
        <v xml:space="preserve"> |}&lt;br&gt;* [http://atom.kaeri.re.kr/cgi-bin/nuclide?nuc=Eu alle bekannten Europium-Isotope]</v>
      </c>
    </row>
    <row r="347" spans="1:14" ht="15.95" customHeight="1">
      <c r="A347">
        <v>64</v>
      </c>
      <c r="B347" s="23" t="s">
        <v>327</v>
      </c>
      <c r="C347" s="17">
        <v>0</v>
      </c>
      <c r="D347" t="s">
        <v>328</v>
      </c>
      <c r="E347" t="s">
        <v>981</v>
      </c>
      <c r="N347" t="str">
        <f>CONCATENATE("=== [[",D347,"]] ===&lt;br&gt;{| {{tabelle}}&lt;br&gt;! Isotop !! ",$D$1," !! [[",$E$1,"]] !! ",$F$1," &lt;br&gt; |-")</f>
        <v>=== [[Gadolinium]] ===&lt;br&gt;{| {{tabelle}}&lt;br&gt;! Isotop !! natürliche Häufigkeit !! [[Halbwertszeit]] !! Herkunft, techn. Bedeutung &lt;br&gt; |-</v>
      </c>
    </row>
    <row r="348" spans="1:14" ht="15.95" customHeight="1">
      <c r="A348" s="17">
        <v>64</v>
      </c>
      <c r="B348" s="21" t="s">
        <v>327</v>
      </c>
      <c r="C348" s="17">
        <v>152</v>
      </c>
      <c r="D348" s="17">
        <v>0.2</v>
      </c>
      <c r="E348" t="s">
        <v>981</v>
      </c>
      <c r="G348" t="str">
        <f t="shared" ref="G348:G354" si="52">CONCATENATE("[","http://atom.kaeri.re.kr/cgi-bin/nuclide?nuc=",B348,"-",C348," &lt;sub&gt;",C348,"&lt;/sub&gt;",B348,"]")</f>
        <v>[http://atom.kaeri.re.kr/cgi-bin/nuclide?nuc=Gd-152 &lt;sub&gt;152&lt;/sub&gt;Gd]</v>
      </c>
      <c r="H348" t="str">
        <f t="shared" ref="H348:H354" si="53">CONCATENATE(D348," % || ",E348)</f>
        <v>0,2 % || stabil</v>
      </c>
      <c r="I348" t="str">
        <f t="shared" ref="I348:I354" si="54">CONCATENATE(" | ",G348," || ",H348," || ",F348)</f>
        <v xml:space="preserve"> | [http://atom.kaeri.re.kr/cgi-bin/nuclide?nuc=Gd-152 &lt;sub&gt;152&lt;/sub&gt;Gd] || 0,2 % || stabil || </v>
      </c>
      <c r="N348" t="str">
        <f t="shared" ref="N348:N354" si="55">CONCATENATE(I348,"&lt;br&gt;"," |-")</f>
        <v xml:space="preserve"> | [http://atom.kaeri.re.kr/cgi-bin/nuclide?nuc=Gd-152 &lt;sub&gt;152&lt;/sub&gt;Gd] || 0,2 % || stabil || &lt;br&gt; |-</v>
      </c>
    </row>
    <row r="349" spans="1:14" ht="15.95" customHeight="1">
      <c r="A349" s="17">
        <v>64</v>
      </c>
      <c r="B349" s="21" t="s">
        <v>327</v>
      </c>
      <c r="C349" s="17">
        <v>154</v>
      </c>
      <c r="D349" s="17">
        <v>2.1800000000000002</v>
      </c>
      <c r="E349" t="s">
        <v>981</v>
      </c>
      <c r="G349" t="str">
        <f t="shared" si="52"/>
        <v>[http://atom.kaeri.re.kr/cgi-bin/nuclide?nuc=Gd-154 &lt;sub&gt;154&lt;/sub&gt;Gd]</v>
      </c>
      <c r="H349" t="str">
        <f t="shared" si="53"/>
        <v>2,18 % || stabil</v>
      </c>
      <c r="I349" t="str">
        <f t="shared" si="54"/>
        <v xml:space="preserve"> | [http://atom.kaeri.re.kr/cgi-bin/nuclide?nuc=Gd-154 &lt;sub&gt;154&lt;/sub&gt;Gd] || 2,18 % || stabil || </v>
      </c>
      <c r="N349" t="str">
        <f t="shared" si="55"/>
        <v xml:space="preserve"> | [http://atom.kaeri.re.kr/cgi-bin/nuclide?nuc=Gd-154 &lt;sub&gt;154&lt;/sub&gt;Gd] || 2,18 % || stabil || &lt;br&gt; |-</v>
      </c>
    </row>
    <row r="350" spans="1:14" ht="15.95" customHeight="1">
      <c r="A350" s="17">
        <v>64</v>
      </c>
      <c r="B350" s="21" t="s">
        <v>327</v>
      </c>
      <c r="C350" s="17">
        <v>155</v>
      </c>
      <c r="D350" s="17">
        <v>14.8</v>
      </c>
      <c r="E350" t="s">
        <v>981</v>
      </c>
      <c r="G350" t="str">
        <f t="shared" si="52"/>
        <v>[http://atom.kaeri.re.kr/cgi-bin/nuclide?nuc=Gd-155 &lt;sub&gt;155&lt;/sub&gt;Gd]</v>
      </c>
      <c r="H350" t="str">
        <f t="shared" si="53"/>
        <v>14,8 % || stabil</v>
      </c>
      <c r="I350" t="str">
        <f t="shared" si="54"/>
        <v xml:space="preserve"> | [http://atom.kaeri.re.kr/cgi-bin/nuclide?nuc=Gd-155 &lt;sub&gt;155&lt;/sub&gt;Gd] || 14,8 % || stabil || </v>
      </c>
      <c r="N350" t="str">
        <f t="shared" si="55"/>
        <v xml:space="preserve"> | [http://atom.kaeri.re.kr/cgi-bin/nuclide?nuc=Gd-155 &lt;sub&gt;155&lt;/sub&gt;Gd] || 14,8 % || stabil || &lt;br&gt; |-</v>
      </c>
    </row>
    <row r="351" spans="1:14" ht="15.95" customHeight="1">
      <c r="A351" s="17">
        <v>64</v>
      </c>
      <c r="B351" s="21" t="s">
        <v>327</v>
      </c>
      <c r="C351" s="17">
        <v>156</v>
      </c>
      <c r="D351" s="17">
        <v>20.47</v>
      </c>
      <c r="E351" t="s">
        <v>981</v>
      </c>
      <c r="G351" t="str">
        <f t="shared" si="52"/>
        <v>[http://atom.kaeri.re.kr/cgi-bin/nuclide?nuc=Gd-156 &lt;sub&gt;156&lt;/sub&gt;Gd]</v>
      </c>
      <c r="H351" t="str">
        <f t="shared" si="53"/>
        <v>20,47 % || stabil</v>
      </c>
      <c r="I351" t="str">
        <f t="shared" si="54"/>
        <v xml:space="preserve"> | [http://atom.kaeri.re.kr/cgi-bin/nuclide?nuc=Gd-156 &lt;sub&gt;156&lt;/sub&gt;Gd] || 20,47 % || stabil || </v>
      </c>
      <c r="N351" t="str">
        <f t="shared" si="55"/>
        <v xml:space="preserve"> | [http://atom.kaeri.re.kr/cgi-bin/nuclide?nuc=Gd-156 &lt;sub&gt;156&lt;/sub&gt;Gd] || 20,47 % || stabil || &lt;br&gt; |-</v>
      </c>
    </row>
    <row r="352" spans="1:14" ht="15.95" customHeight="1">
      <c r="A352" s="17">
        <v>64</v>
      </c>
      <c r="B352" s="21" t="s">
        <v>327</v>
      </c>
      <c r="C352" s="17">
        <v>157</v>
      </c>
      <c r="D352" s="17">
        <v>15.65</v>
      </c>
      <c r="E352" t="s">
        <v>981</v>
      </c>
      <c r="G352" t="str">
        <f t="shared" si="52"/>
        <v>[http://atom.kaeri.re.kr/cgi-bin/nuclide?nuc=Gd-157 &lt;sub&gt;157&lt;/sub&gt;Gd]</v>
      </c>
      <c r="H352" t="str">
        <f t="shared" si="53"/>
        <v>15,65 % || stabil</v>
      </c>
      <c r="I352" t="str">
        <f t="shared" si="54"/>
        <v xml:space="preserve"> | [http://atom.kaeri.re.kr/cgi-bin/nuclide?nuc=Gd-157 &lt;sub&gt;157&lt;/sub&gt;Gd] || 15,65 % || stabil || </v>
      </c>
      <c r="N352" t="str">
        <f t="shared" si="55"/>
        <v xml:space="preserve"> | [http://atom.kaeri.re.kr/cgi-bin/nuclide?nuc=Gd-157 &lt;sub&gt;157&lt;/sub&gt;Gd] || 15,65 % || stabil || &lt;br&gt; |-</v>
      </c>
    </row>
    <row r="353" spans="1:14" ht="15.95" customHeight="1">
      <c r="A353" s="17">
        <v>64</v>
      </c>
      <c r="B353" s="21" t="s">
        <v>327</v>
      </c>
      <c r="C353" s="17">
        <v>158</v>
      </c>
      <c r="D353" s="17">
        <v>24.84</v>
      </c>
      <c r="E353" t="s">
        <v>981</v>
      </c>
      <c r="G353" t="str">
        <f t="shared" si="52"/>
        <v>[http://atom.kaeri.re.kr/cgi-bin/nuclide?nuc=Gd-158 &lt;sub&gt;158&lt;/sub&gt;Gd]</v>
      </c>
      <c r="H353" t="str">
        <f t="shared" si="53"/>
        <v>24,84 % || stabil</v>
      </c>
      <c r="I353" t="str">
        <f t="shared" si="54"/>
        <v xml:space="preserve"> | [http://atom.kaeri.re.kr/cgi-bin/nuclide?nuc=Gd-158 &lt;sub&gt;158&lt;/sub&gt;Gd] || 24,84 % || stabil || </v>
      </c>
      <c r="N353" t="str">
        <f t="shared" si="55"/>
        <v xml:space="preserve"> | [http://atom.kaeri.re.kr/cgi-bin/nuclide?nuc=Gd-158 &lt;sub&gt;158&lt;/sub&gt;Gd] || 24,84 % || stabil || &lt;br&gt; |-</v>
      </c>
    </row>
    <row r="354" spans="1:14" ht="15.95" customHeight="1">
      <c r="A354" s="17">
        <v>64</v>
      </c>
      <c r="B354" s="21" t="s">
        <v>327</v>
      </c>
      <c r="C354" s="17">
        <v>160</v>
      </c>
      <c r="D354" s="17">
        <v>21.86</v>
      </c>
      <c r="E354" t="s">
        <v>981</v>
      </c>
      <c r="G354" t="str">
        <f t="shared" si="52"/>
        <v>[http://atom.kaeri.re.kr/cgi-bin/nuclide?nuc=Gd-160 &lt;sub&gt;160&lt;/sub&gt;Gd]</v>
      </c>
      <c r="H354" t="str">
        <f t="shared" si="53"/>
        <v>21,86 % || stabil</v>
      </c>
      <c r="I354" t="str">
        <f t="shared" si="54"/>
        <v xml:space="preserve"> | [http://atom.kaeri.re.kr/cgi-bin/nuclide?nuc=Gd-160 &lt;sub&gt;160&lt;/sub&gt;Gd] || 21,86 % || stabil || </v>
      </c>
      <c r="N354" t="str">
        <f t="shared" si="55"/>
        <v xml:space="preserve"> | [http://atom.kaeri.re.kr/cgi-bin/nuclide?nuc=Gd-160 &lt;sub&gt;160&lt;/sub&gt;Gd] || 21,86 % || stabil || &lt;br&gt; |-</v>
      </c>
    </row>
    <row r="355" spans="1:14" ht="15.95" customHeight="1">
      <c r="A355">
        <v>64</v>
      </c>
      <c r="B355" s="23" t="s">
        <v>327</v>
      </c>
      <c r="C355">
        <v>999</v>
      </c>
      <c r="D355" t="s">
        <v>328</v>
      </c>
      <c r="E355" t="s">
        <v>981</v>
      </c>
      <c r="N355" t="str">
        <f>CONCATENATE(" |}&lt;br&gt;* [http://atom.kaeri.re.kr/cgi-bin/nuclide?nuc=",B355," alle bekannten ",D355,"-Isotope]")</f>
        <v xml:space="preserve"> |}&lt;br&gt;* [http://atom.kaeri.re.kr/cgi-bin/nuclide?nuc=Gd alle bekannten Gadolinium-Isotope]</v>
      </c>
    </row>
    <row r="356" spans="1:14" ht="15.95" customHeight="1">
      <c r="A356">
        <v>65</v>
      </c>
      <c r="B356" s="23" t="s">
        <v>331</v>
      </c>
      <c r="C356" s="17">
        <v>0</v>
      </c>
      <c r="D356" t="s">
        <v>332</v>
      </c>
      <c r="E356" t="s">
        <v>981</v>
      </c>
      <c r="N356" t="str">
        <f>CONCATENATE("=== [[",D356,"]] ===&lt;br&gt;{| {{tabelle}}&lt;br&gt;! Isotop !! ",$D$1," !! [[",$E$1,"]] !! ",$F$1," &lt;br&gt; |-")</f>
        <v>=== [[Terbium]] ===&lt;br&gt;{| {{tabelle}}&lt;br&gt;! Isotop !! natürliche Häufigkeit !! [[Halbwertszeit]] !! Herkunft, techn. Bedeutung &lt;br&gt; |-</v>
      </c>
    </row>
    <row r="357" spans="1:14" ht="15.95" customHeight="1">
      <c r="A357" s="17">
        <v>65</v>
      </c>
      <c r="B357" s="21" t="s">
        <v>331</v>
      </c>
      <c r="C357" s="17">
        <v>159</v>
      </c>
      <c r="D357" s="17">
        <v>100</v>
      </c>
      <c r="E357" t="s">
        <v>981</v>
      </c>
      <c r="G357" t="str">
        <f>CONCATENATE("[","http://atom.kaeri.re.kr/cgi-bin/nuclide?nuc=",B357,"-",C357," &lt;sub&gt;",C357,"&lt;/sub&gt;",B357,"]")</f>
        <v>[http://atom.kaeri.re.kr/cgi-bin/nuclide?nuc=Tb-159 &lt;sub&gt;159&lt;/sub&gt;Tb]</v>
      </c>
      <c r="H357" t="str">
        <f>CONCATENATE(D357," % || ",E357)</f>
        <v>100 % || stabil</v>
      </c>
      <c r="I357" t="str">
        <f>CONCATENATE(" | ",G357," || ",H357," || ",F357)</f>
        <v xml:space="preserve"> | [http://atom.kaeri.re.kr/cgi-bin/nuclide?nuc=Tb-159 &lt;sub&gt;159&lt;/sub&gt;Tb] || 100 % || stabil || </v>
      </c>
      <c r="N357" t="str">
        <f>CONCATENATE(I357,"&lt;br&gt;"," |-")</f>
        <v xml:space="preserve"> | [http://atom.kaeri.re.kr/cgi-bin/nuclide?nuc=Tb-159 &lt;sub&gt;159&lt;/sub&gt;Tb] || 100 % || stabil || &lt;br&gt; |-</v>
      </c>
    </row>
    <row r="358" spans="1:14" ht="15.95" customHeight="1">
      <c r="A358">
        <v>65</v>
      </c>
      <c r="B358" s="23" t="s">
        <v>331</v>
      </c>
      <c r="C358">
        <v>999</v>
      </c>
      <c r="D358" t="s">
        <v>332</v>
      </c>
      <c r="E358" t="s">
        <v>981</v>
      </c>
      <c r="N358" t="str">
        <f>CONCATENATE(" |}&lt;br&gt;* [http://atom.kaeri.re.kr/cgi-bin/nuclide?nuc=",B358," alle bekannten ",D358,"-Isotope]")</f>
        <v xml:space="preserve"> |}&lt;br&gt;* [http://atom.kaeri.re.kr/cgi-bin/nuclide?nuc=Tb alle bekannten Terbium-Isotope]</v>
      </c>
    </row>
    <row r="359" spans="1:14" ht="15.95" customHeight="1">
      <c r="A359">
        <v>66</v>
      </c>
      <c r="B359" s="23" t="s">
        <v>334</v>
      </c>
      <c r="C359" s="17">
        <v>0</v>
      </c>
      <c r="D359" t="s">
        <v>335</v>
      </c>
      <c r="E359" t="s">
        <v>981</v>
      </c>
      <c r="N359" t="str">
        <f>CONCATENATE("=== [[",D359,"]] ===&lt;br&gt;{| {{tabelle}}&lt;br&gt;! Isotop !! ",$D$1," !! [[",$E$1,"]] !! ",$F$1," &lt;br&gt; |-")</f>
        <v>=== [[Dysprosium]] ===&lt;br&gt;{| {{tabelle}}&lt;br&gt;! Isotop !! natürliche Häufigkeit !! [[Halbwertszeit]] !! Herkunft, techn. Bedeutung &lt;br&gt; |-</v>
      </c>
    </row>
    <row r="360" spans="1:14" ht="15.95" customHeight="1">
      <c r="A360" s="17">
        <v>66</v>
      </c>
      <c r="B360" s="21" t="s">
        <v>334</v>
      </c>
      <c r="C360" s="17">
        <v>156</v>
      </c>
      <c r="D360" s="17">
        <v>0.06</v>
      </c>
      <c r="E360" t="s">
        <v>981</v>
      </c>
      <c r="G360" t="str">
        <f t="shared" ref="G360:G366" si="56">CONCATENATE("[","http://atom.kaeri.re.kr/cgi-bin/nuclide?nuc=",B360,"-",C360," &lt;sub&gt;",C360,"&lt;/sub&gt;",B360,"]")</f>
        <v>[http://atom.kaeri.re.kr/cgi-bin/nuclide?nuc=Dy-156 &lt;sub&gt;156&lt;/sub&gt;Dy]</v>
      </c>
      <c r="H360" t="str">
        <f t="shared" ref="H360:H366" si="57">CONCATENATE(D360," % || ",E360)</f>
        <v>0,06 % || stabil</v>
      </c>
      <c r="I360" t="str">
        <f t="shared" ref="I360:I366" si="58">CONCATENATE(" | ",G360," || ",H360," || ",F360)</f>
        <v xml:space="preserve"> | [http://atom.kaeri.re.kr/cgi-bin/nuclide?nuc=Dy-156 &lt;sub&gt;156&lt;/sub&gt;Dy] || 0,06 % || stabil || </v>
      </c>
      <c r="N360" t="str">
        <f t="shared" ref="N360:N366" si="59">CONCATENATE(I360,"&lt;br&gt;"," |-")</f>
        <v xml:space="preserve"> | [http://atom.kaeri.re.kr/cgi-bin/nuclide?nuc=Dy-156 &lt;sub&gt;156&lt;/sub&gt;Dy] || 0,06 % || stabil || &lt;br&gt; |-</v>
      </c>
    </row>
    <row r="361" spans="1:14" ht="15.95" customHeight="1">
      <c r="A361" s="17">
        <v>66</v>
      </c>
      <c r="B361" s="21" t="s">
        <v>334</v>
      </c>
      <c r="C361" s="17">
        <v>158</v>
      </c>
      <c r="D361" s="17">
        <v>0.1</v>
      </c>
      <c r="E361" t="s">
        <v>981</v>
      </c>
      <c r="G361" t="str">
        <f t="shared" si="56"/>
        <v>[http://atom.kaeri.re.kr/cgi-bin/nuclide?nuc=Dy-158 &lt;sub&gt;158&lt;/sub&gt;Dy]</v>
      </c>
      <c r="H361" t="str">
        <f t="shared" si="57"/>
        <v>0,1 % || stabil</v>
      </c>
      <c r="I361" t="str">
        <f t="shared" si="58"/>
        <v xml:space="preserve"> | [http://atom.kaeri.re.kr/cgi-bin/nuclide?nuc=Dy-158 &lt;sub&gt;158&lt;/sub&gt;Dy] || 0,1 % || stabil || </v>
      </c>
      <c r="N361" t="str">
        <f t="shared" si="59"/>
        <v xml:space="preserve"> | [http://atom.kaeri.re.kr/cgi-bin/nuclide?nuc=Dy-158 &lt;sub&gt;158&lt;/sub&gt;Dy] || 0,1 % || stabil || &lt;br&gt; |-</v>
      </c>
    </row>
    <row r="362" spans="1:14" ht="15.95" customHeight="1">
      <c r="A362" s="17">
        <v>66</v>
      </c>
      <c r="B362" s="21" t="s">
        <v>334</v>
      </c>
      <c r="C362" s="17">
        <v>160</v>
      </c>
      <c r="D362" s="17">
        <v>2.34</v>
      </c>
      <c r="E362" t="s">
        <v>981</v>
      </c>
      <c r="G362" t="str">
        <f t="shared" si="56"/>
        <v>[http://atom.kaeri.re.kr/cgi-bin/nuclide?nuc=Dy-160 &lt;sub&gt;160&lt;/sub&gt;Dy]</v>
      </c>
      <c r="H362" t="str">
        <f t="shared" si="57"/>
        <v>2,34 % || stabil</v>
      </c>
      <c r="I362" t="str">
        <f t="shared" si="58"/>
        <v xml:space="preserve"> | [http://atom.kaeri.re.kr/cgi-bin/nuclide?nuc=Dy-160 &lt;sub&gt;160&lt;/sub&gt;Dy] || 2,34 % || stabil || </v>
      </c>
      <c r="N362" t="str">
        <f t="shared" si="59"/>
        <v xml:space="preserve"> | [http://atom.kaeri.re.kr/cgi-bin/nuclide?nuc=Dy-160 &lt;sub&gt;160&lt;/sub&gt;Dy] || 2,34 % || stabil || &lt;br&gt; |-</v>
      </c>
    </row>
    <row r="363" spans="1:14" ht="15.95" customHeight="1">
      <c r="A363" s="17">
        <v>66</v>
      </c>
      <c r="B363" s="21" t="s">
        <v>334</v>
      </c>
      <c r="C363" s="17">
        <v>161</v>
      </c>
      <c r="D363" s="17">
        <v>18.91</v>
      </c>
      <c r="E363" t="s">
        <v>981</v>
      </c>
      <c r="G363" t="str">
        <f t="shared" si="56"/>
        <v>[http://atom.kaeri.re.kr/cgi-bin/nuclide?nuc=Dy-161 &lt;sub&gt;161&lt;/sub&gt;Dy]</v>
      </c>
      <c r="H363" t="str">
        <f t="shared" si="57"/>
        <v>18,91 % || stabil</v>
      </c>
      <c r="I363" t="str">
        <f t="shared" si="58"/>
        <v xml:space="preserve"> | [http://atom.kaeri.re.kr/cgi-bin/nuclide?nuc=Dy-161 &lt;sub&gt;161&lt;/sub&gt;Dy] || 18,91 % || stabil || </v>
      </c>
      <c r="N363" t="str">
        <f t="shared" si="59"/>
        <v xml:space="preserve"> | [http://atom.kaeri.re.kr/cgi-bin/nuclide?nuc=Dy-161 &lt;sub&gt;161&lt;/sub&gt;Dy] || 18,91 % || stabil || &lt;br&gt; |-</v>
      </c>
    </row>
    <row r="364" spans="1:14" ht="15.95" customHeight="1">
      <c r="A364" s="17">
        <v>66</v>
      </c>
      <c r="B364" s="21" t="s">
        <v>334</v>
      </c>
      <c r="C364" s="17">
        <v>162</v>
      </c>
      <c r="D364" s="17">
        <v>25.51</v>
      </c>
      <c r="E364" t="s">
        <v>981</v>
      </c>
      <c r="G364" t="str">
        <f t="shared" si="56"/>
        <v>[http://atom.kaeri.re.kr/cgi-bin/nuclide?nuc=Dy-162 &lt;sub&gt;162&lt;/sub&gt;Dy]</v>
      </c>
      <c r="H364" t="str">
        <f t="shared" si="57"/>
        <v>25,51 % || stabil</v>
      </c>
      <c r="I364" t="str">
        <f t="shared" si="58"/>
        <v xml:space="preserve"> | [http://atom.kaeri.re.kr/cgi-bin/nuclide?nuc=Dy-162 &lt;sub&gt;162&lt;/sub&gt;Dy] || 25,51 % || stabil || </v>
      </c>
      <c r="N364" t="str">
        <f t="shared" si="59"/>
        <v xml:space="preserve"> | [http://atom.kaeri.re.kr/cgi-bin/nuclide?nuc=Dy-162 &lt;sub&gt;162&lt;/sub&gt;Dy] || 25,51 % || stabil || &lt;br&gt; |-</v>
      </c>
    </row>
    <row r="365" spans="1:14" ht="15.95" customHeight="1">
      <c r="A365" s="17">
        <v>66</v>
      </c>
      <c r="B365" s="21" t="s">
        <v>334</v>
      </c>
      <c r="C365" s="17">
        <v>163</v>
      </c>
      <c r="D365" s="17">
        <v>24.9</v>
      </c>
      <c r="E365" t="s">
        <v>981</v>
      </c>
      <c r="G365" t="str">
        <f t="shared" si="56"/>
        <v>[http://atom.kaeri.re.kr/cgi-bin/nuclide?nuc=Dy-163 &lt;sub&gt;163&lt;/sub&gt;Dy]</v>
      </c>
      <c r="H365" t="str">
        <f t="shared" si="57"/>
        <v>24,9 % || stabil</v>
      </c>
      <c r="I365" t="str">
        <f t="shared" si="58"/>
        <v xml:space="preserve"> | [http://atom.kaeri.re.kr/cgi-bin/nuclide?nuc=Dy-163 &lt;sub&gt;163&lt;/sub&gt;Dy] || 24,9 % || stabil || </v>
      </c>
      <c r="N365" t="str">
        <f t="shared" si="59"/>
        <v xml:space="preserve"> | [http://atom.kaeri.re.kr/cgi-bin/nuclide?nuc=Dy-163 &lt;sub&gt;163&lt;/sub&gt;Dy] || 24,9 % || stabil || &lt;br&gt; |-</v>
      </c>
    </row>
    <row r="366" spans="1:14" ht="15.95" customHeight="1">
      <c r="A366" s="17">
        <v>66</v>
      </c>
      <c r="B366" s="21" t="s">
        <v>334</v>
      </c>
      <c r="C366" s="17">
        <v>164</v>
      </c>
      <c r="D366" s="17">
        <v>28.18</v>
      </c>
      <c r="E366" t="s">
        <v>981</v>
      </c>
      <c r="G366" t="str">
        <f t="shared" si="56"/>
        <v>[http://atom.kaeri.re.kr/cgi-bin/nuclide?nuc=Dy-164 &lt;sub&gt;164&lt;/sub&gt;Dy]</v>
      </c>
      <c r="H366" t="str">
        <f t="shared" si="57"/>
        <v>28,18 % || stabil</v>
      </c>
      <c r="I366" t="str">
        <f t="shared" si="58"/>
        <v xml:space="preserve"> | [http://atom.kaeri.re.kr/cgi-bin/nuclide?nuc=Dy-164 &lt;sub&gt;164&lt;/sub&gt;Dy] || 28,18 % || stabil || </v>
      </c>
      <c r="N366" t="str">
        <f t="shared" si="59"/>
        <v xml:space="preserve"> | [http://atom.kaeri.re.kr/cgi-bin/nuclide?nuc=Dy-164 &lt;sub&gt;164&lt;/sub&gt;Dy] || 28,18 % || stabil || &lt;br&gt; |-</v>
      </c>
    </row>
    <row r="367" spans="1:14" ht="15.95" customHeight="1">
      <c r="A367">
        <v>66</v>
      </c>
      <c r="B367" s="23" t="s">
        <v>334</v>
      </c>
      <c r="C367">
        <v>999</v>
      </c>
      <c r="D367" t="s">
        <v>335</v>
      </c>
      <c r="E367" t="s">
        <v>981</v>
      </c>
      <c r="N367" t="str">
        <f>CONCATENATE(" |}&lt;br&gt;* [http://atom.kaeri.re.kr/cgi-bin/nuclide?nuc=",B367," alle bekannten ",D367,"-Isotope]")</f>
        <v xml:space="preserve"> |}&lt;br&gt;* [http://atom.kaeri.re.kr/cgi-bin/nuclide?nuc=Dy alle bekannten Dysprosium-Isotope]</v>
      </c>
    </row>
    <row r="368" spans="1:14" ht="15.95" customHeight="1">
      <c r="A368">
        <v>67</v>
      </c>
      <c r="B368" s="23" t="s">
        <v>337</v>
      </c>
      <c r="C368" s="17">
        <v>0</v>
      </c>
      <c r="D368" t="s">
        <v>338</v>
      </c>
      <c r="E368" t="s">
        <v>981</v>
      </c>
      <c r="N368" t="str">
        <f>CONCATENATE("=== [[",D368,"]] ===&lt;br&gt;{| {{tabelle}}&lt;br&gt;! Isotop !! ",$D$1," !! [[",$E$1,"]] !! ",$F$1," &lt;br&gt; |-")</f>
        <v>=== [[Holmium]] ===&lt;br&gt;{| {{tabelle}}&lt;br&gt;! Isotop !! natürliche Häufigkeit !! [[Halbwertszeit]] !! Herkunft, techn. Bedeutung &lt;br&gt; |-</v>
      </c>
    </row>
    <row r="369" spans="1:14" ht="15.95" customHeight="1">
      <c r="A369" s="17">
        <v>67</v>
      </c>
      <c r="B369" s="21" t="s">
        <v>337</v>
      </c>
      <c r="C369" s="17">
        <v>165</v>
      </c>
      <c r="D369" s="17">
        <v>100</v>
      </c>
      <c r="E369" t="s">
        <v>981</v>
      </c>
      <c r="G369" t="str">
        <f>CONCATENATE("[","http://atom.kaeri.re.kr/cgi-bin/nuclide?nuc=",B369,"-",C369," &lt;sub&gt;",C369,"&lt;/sub&gt;",B369,"]")</f>
        <v>[http://atom.kaeri.re.kr/cgi-bin/nuclide?nuc=Ho-165 &lt;sub&gt;165&lt;/sub&gt;Ho]</v>
      </c>
      <c r="H369" t="str">
        <f>CONCATENATE(D369," % || ",E369)</f>
        <v>100 % || stabil</v>
      </c>
      <c r="I369" t="str">
        <f>CONCATENATE(" | ",G369," || ",H369," || ",F369)</f>
        <v xml:space="preserve"> | [http://atom.kaeri.re.kr/cgi-bin/nuclide?nuc=Ho-165 &lt;sub&gt;165&lt;/sub&gt;Ho] || 100 % || stabil || </v>
      </c>
      <c r="N369" t="str">
        <f>CONCATENATE(I369,"&lt;br&gt;"," |-")</f>
        <v xml:space="preserve"> | [http://atom.kaeri.re.kr/cgi-bin/nuclide?nuc=Ho-165 &lt;sub&gt;165&lt;/sub&gt;Ho] || 100 % || stabil || &lt;br&gt; |-</v>
      </c>
    </row>
    <row r="370" spans="1:14" ht="15.95" customHeight="1">
      <c r="A370">
        <v>67</v>
      </c>
      <c r="B370" s="23" t="s">
        <v>337</v>
      </c>
      <c r="C370">
        <v>999</v>
      </c>
      <c r="D370" t="s">
        <v>338</v>
      </c>
      <c r="E370" t="s">
        <v>981</v>
      </c>
      <c r="N370" t="str">
        <f>CONCATENATE(" |}&lt;br&gt;* [http://atom.kaeri.re.kr/cgi-bin/nuclide?nuc=",B370," alle bekannten ",D370,"-Isotope]")</f>
        <v xml:space="preserve"> |}&lt;br&gt;* [http://atom.kaeri.re.kr/cgi-bin/nuclide?nuc=Ho alle bekannten Holmium-Isotope]</v>
      </c>
    </row>
    <row r="371" spans="1:14" ht="15.95" customHeight="1">
      <c r="A371">
        <v>68</v>
      </c>
      <c r="B371" s="23" t="s">
        <v>340</v>
      </c>
      <c r="C371" s="17">
        <v>0</v>
      </c>
      <c r="D371" t="s">
        <v>341</v>
      </c>
      <c r="E371" t="s">
        <v>981</v>
      </c>
      <c r="N371" t="str">
        <f>CONCATENATE("=== [[",D371,"]] ===&lt;br&gt;{| {{tabelle}}&lt;br&gt;! Isotop !! ",$D$1," !! [[",$E$1,"]] !! ",$F$1," &lt;br&gt; |-")</f>
        <v>=== [[Erbium]] ===&lt;br&gt;{| {{tabelle}}&lt;br&gt;! Isotop !! natürliche Häufigkeit !! [[Halbwertszeit]] !! Herkunft, techn. Bedeutung &lt;br&gt; |-</v>
      </c>
    </row>
    <row r="372" spans="1:14" ht="15.95" customHeight="1">
      <c r="A372" s="17">
        <v>68</v>
      </c>
      <c r="B372" s="21" t="s">
        <v>340</v>
      </c>
      <c r="C372" s="17">
        <v>162</v>
      </c>
      <c r="D372" s="17">
        <v>0.14000000000000001</v>
      </c>
      <c r="E372" t="s">
        <v>981</v>
      </c>
      <c r="G372" t="str">
        <f t="shared" ref="G372:G377" si="60">CONCATENATE("[","http://atom.kaeri.re.kr/cgi-bin/nuclide?nuc=",B372,"-",C372," &lt;sub&gt;",C372,"&lt;/sub&gt;",B372,"]")</f>
        <v>[http://atom.kaeri.re.kr/cgi-bin/nuclide?nuc=Er-162 &lt;sub&gt;162&lt;/sub&gt;Er]</v>
      </c>
      <c r="H372" t="str">
        <f t="shared" ref="H372:H377" si="61">CONCATENATE(D372," % || ",E372)</f>
        <v>0,14 % || stabil</v>
      </c>
      <c r="I372" t="str">
        <f t="shared" ref="I372:I377" si="62">CONCATENATE(" | ",G372," || ",H372," || ",F372)</f>
        <v xml:space="preserve"> | [http://atom.kaeri.re.kr/cgi-bin/nuclide?nuc=Er-162 &lt;sub&gt;162&lt;/sub&gt;Er] || 0,14 % || stabil || </v>
      </c>
      <c r="N372" t="str">
        <f t="shared" ref="N372:N377" si="63">CONCATENATE(I372,"&lt;br&gt;"," |-")</f>
        <v xml:space="preserve"> | [http://atom.kaeri.re.kr/cgi-bin/nuclide?nuc=Er-162 &lt;sub&gt;162&lt;/sub&gt;Er] || 0,14 % || stabil || &lt;br&gt; |-</v>
      </c>
    </row>
    <row r="373" spans="1:14" ht="15.95" customHeight="1">
      <c r="A373" s="17">
        <v>68</v>
      </c>
      <c r="B373" s="21" t="s">
        <v>340</v>
      </c>
      <c r="C373" s="17">
        <v>164</v>
      </c>
      <c r="D373" s="17">
        <v>1.61</v>
      </c>
      <c r="E373" t="s">
        <v>981</v>
      </c>
      <c r="G373" t="str">
        <f t="shared" si="60"/>
        <v>[http://atom.kaeri.re.kr/cgi-bin/nuclide?nuc=Er-164 &lt;sub&gt;164&lt;/sub&gt;Er]</v>
      </c>
      <c r="H373" t="str">
        <f t="shared" si="61"/>
        <v>1,61 % || stabil</v>
      </c>
      <c r="I373" t="str">
        <f t="shared" si="62"/>
        <v xml:space="preserve"> | [http://atom.kaeri.re.kr/cgi-bin/nuclide?nuc=Er-164 &lt;sub&gt;164&lt;/sub&gt;Er] || 1,61 % || stabil || </v>
      </c>
      <c r="N373" t="str">
        <f t="shared" si="63"/>
        <v xml:space="preserve"> | [http://atom.kaeri.re.kr/cgi-bin/nuclide?nuc=Er-164 &lt;sub&gt;164&lt;/sub&gt;Er] || 1,61 % || stabil || &lt;br&gt; |-</v>
      </c>
    </row>
    <row r="374" spans="1:14" ht="15.95" customHeight="1">
      <c r="A374" s="17">
        <v>68</v>
      </c>
      <c r="B374" s="21" t="s">
        <v>340</v>
      </c>
      <c r="C374" s="17">
        <v>166</v>
      </c>
      <c r="D374" s="17">
        <v>33.61</v>
      </c>
      <c r="E374" t="s">
        <v>981</v>
      </c>
      <c r="G374" t="str">
        <f t="shared" si="60"/>
        <v>[http://atom.kaeri.re.kr/cgi-bin/nuclide?nuc=Er-166 &lt;sub&gt;166&lt;/sub&gt;Er]</v>
      </c>
      <c r="H374" t="str">
        <f t="shared" si="61"/>
        <v>33,61 % || stabil</v>
      </c>
      <c r="I374" t="str">
        <f t="shared" si="62"/>
        <v xml:space="preserve"> | [http://atom.kaeri.re.kr/cgi-bin/nuclide?nuc=Er-166 &lt;sub&gt;166&lt;/sub&gt;Er] || 33,61 % || stabil || </v>
      </c>
      <c r="N374" t="str">
        <f t="shared" si="63"/>
        <v xml:space="preserve"> | [http://atom.kaeri.re.kr/cgi-bin/nuclide?nuc=Er-166 &lt;sub&gt;166&lt;/sub&gt;Er] || 33,61 % || stabil || &lt;br&gt; |-</v>
      </c>
    </row>
    <row r="375" spans="1:14" ht="15.95" customHeight="1">
      <c r="A375" s="17">
        <v>68</v>
      </c>
      <c r="B375" s="21" t="s">
        <v>340</v>
      </c>
      <c r="C375" s="17">
        <v>167</v>
      </c>
      <c r="D375" s="17">
        <v>22.93</v>
      </c>
      <c r="E375" t="s">
        <v>981</v>
      </c>
      <c r="G375" t="str">
        <f t="shared" si="60"/>
        <v>[http://atom.kaeri.re.kr/cgi-bin/nuclide?nuc=Er-167 &lt;sub&gt;167&lt;/sub&gt;Er]</v>
      </c>
      <c r="H375" t="str">
        <f t="shared" si="61"/>
        <v>22,93 % || stabil</v>
      </c>
      <c r="I375" t="str">
        <f t="shared" si="62"/>
        <v xml:space="preserve"> | [http://atom.kaeri.re.kr/cgi-bin/nuclide?nuc=Er-167 &lt;sub&gt;167&lt;/sub&gt;Er] || 22,93 % || stabil || </v>
      </c>
      <c r="N375" t="str">
        <f t="shared" si="63"/>
        <v xml:space="preserve"> | [http://atom.kaeri.re.kr/cgi-bin/nuclide?nuc=Er-167 &lt;sub&gt;167&lt;/sub&gt;Er] || 22,93 % || stabil || &lt;br&gt; |-</v>
      </c>
    </row>
    <row r="376" spans="1:14" ht="15.95" customHeight="1">
      <c r="A376" s="17">
        <v>68</v>
      </c>
      <c r="B376" s="21" t="s">
        <v>340</v>
      </c>
      <c r="C376" s="17">
        <v>168</v>
      </c>
      <c r="D376" s="17">
        <v>26.78</v>
      </c>
      <c r="E376" t="s">
        <v>981</v>
      </c>
      <c r="G376" t="str">
        <f t="shared" si="60"/>
        <v>[http://atom.kaeri.re.kr/cgi-bin/nuclide?nuc=Er-168 &lt;sub&gt;168&lt;/sub&gt;Er]</v>
      </c>
      <c r="H376" t="str">
        <f t="shared" si="61"/>
        <v>26,78 % || stabil</v>
      </c>
      <c r="I376" t="str">
        <f t="shared" si="62"/>
        <v xml:space="preserve"> | [http://atom.kaeri.re.kr/cgi-bin/nuclide?nuc=Er-168 &lt;sub&gt;168&lt;/sub&gt;Er] || 26,78 % || stabil || </v>
      </c>
      <c r="N376" t="str">
        <f t="shared" si="63"/>
        <v xml:space="preserve"> | [http://atom.kaeri.re.kr/cgi-bin/nuclide?nuc=Er-168 &lt;sub&gt;168&lt;/sub&gt;Er] || 26,78 % || stabil || &lt;br&gt; |-</v>
      </c>
    </row>
    <row r="377" spans="1:14" ht="15.95" customHeight="1">
      <c r="A377" s="17">
        <v>68</v>
      </c>
      <c r="B377" s="21" t="s">
        <v>340</v>
      </c>
      <c r="C377" s="17">
        <v>170</v>
      </c>
      <c r="D377" s="17">
        <v>14.93</v>
      </c>
      <c r="E377" t="s">
        <v>981</v>
      </c>
      <c r="G377" t="str">
        <f t="shared" si="60"/>
        <v>[http://atom.kaeri.re.kr/cgi-bin/nuclide?nuc=Er-170 &lt;sub&gt;170&lt;/sub&gt;Er]</v>
      </c>
      <c r="H377" t="str">
        <f t="shared" si="61"/>
        <v>14,93 % || stabil</v>
      </c>
      <c r="I377" t="str">
        <f t="shared" si="62"/>
        <v xml:space="preserve"> | [http://atom.kaeri.re.kr/cgi-bin/nuclide?nuc=Er-170 &lt;sub&gt;170&lt;/sub&gt;Er] || 14,93 % || stabil || </v>
      </c>
      <c r="N377" t="str">
        <f t="shared" si="63"/>
        <v xml:space="preserve"> | [http://atom.kaeri.re.kr/cgi-bin/nuclide?nuc=Er-170 &lt;sub&gt;170&lt;/sub&gt;Er] || 14,93 % || stabil || &lt;br&gt; |-</v>
      </c>
    </row>
    <row r="378" spans="1:14" ht="15.95" customHeight="1">
      <c r="A378">
        <v>68</v>
      </c>
      <c r="B378" s="23" t="s">
        <v>340</v>
      </c>
      <c r="C378">
        <v>999</v>
      </c>
      <c r="D378" t="s">
        <v>341</v>
      </c>
      <c r="E378" t="s">
        <v>981</v>
      </c>
      <c r="N378" t="str">
        <f>CONCATENATE(" |}&lt;br&gt;* [http://atom.kaeri.re.kr/cgi-bin/nuclide?nuc=",B378," alle bekannten ",D378,"-Isotope]")</f>
        <v xml:space="preserve"> |}&lt;br&gt;* [http://atom.kaeri.re.kr/cgi-bin/nuclide?nuc=Er alle bekannten Erbium-Isotope]</v>
      </c>
    </row>
    <row r="379" spans="1:14" ht="15.95" customHeight="1">
      <c r="A379">
        <v>69</v>
      </c>
      <c r="B379" s="23" t="s">
        <v>343</v>
      </c>
      <c r="C379" s="17">
        <v>0</v>
      </c>
      <c r="D379" t="s">
        <v>344</v>
      </c>
      <c r="E379" t="s">
        <v>981</v>
      </c>
      <c r="N379" t="str">
        <f>CONCATENATE("=== [[",D379,"]] ===&lt;br&gt;{| {{tabelle}}&lt;br&gt;! Isotop !! ",$D$1," !! [[",$E$1,"]] !! ",$F$1," &lt;br&gt; |-")</f>
        <v>=== [[Thulium]] ===&lt;br&gt;{| {{tabelle}}&lt;br&gt;! Isotop !! natürliche Häufigkeit !! [[Halbwertszeit]] !! Herkunft, techn. Bedeutung &lt;br&gt; |-</v>
      </c>
    </row>
    <row r="380" spans="1:14" ht="15.95" customHeight="1">
      <c r="A380" s="17">
        <v>69</v>
      </c>
      <c r="B380" s="21" t="s">
        <v>343</v>
      </c>
      <c r="C380" s="17">
        <v>169</v>
      </c>
      <c r="D380" s="17">
        <v>100</v>
      </c>
      <c r="E380" t="s">
        <v>981</v>
      </c>
      <c r="G380" t="str">
        <f>CONCATENATE("[","http://atom.kaeri.re.kr/cgi-bin/nuclide?nuc=",B380,"-",C380," &lt;sub&gt;",C380,"&lt;/sub&gt;",B380,"]")</f>
        <v>[http://atom.kaeri.re.kr/cgi-bin/nuclide?nuc=Tm-169 &lt;sub&gt;169&lt;/sub&gt;Tm]</v>
      </c>
      <c r="H380" t="str">
        <f>CONCATENATE(D380," % || ",E380)</f>
        <v>100 % || stabil</v>
      </c>
      <c r="I380" t="str">
        <f>CONCATENATE(" | ",G380," || ",H380," || ",F380)</f>
        <v xml:space="preserve"> | [http://atom.kaeri.re.kr/cgi-bin/nuclide?nuc=Tm-169 &lt;sub&gt;169&lt;/sub&gt;Tm] || 100 % || stabil || </v>
      </c>
      <c r="N380" t="str">
        <f>CONCATENATE(I380,"&lt;br&gt;"," |-")</f>
        <v xml:space="preserve"> | [http://atom.kaeri.re.kr/cgi-bin/nuclide?nuc=Tm-169 &lt;sub&gt;169&lt;/sub&gt;Tm] || 100 % || stabil || &lt;br&gt; |-</v>
      </c>
    </row>
    <row r="381" spans="1:14" ht="15.95" customHeight="1">
      <c r="A381">
        <v>69</v>
      </c>
      <c r="B381" s="23" t="s">
        <v>343</v>
      </c>
      <c r="C381">
        <v>999</v>
      </c>
      <c r="D381" t="s">
        <v>344</v>
      </c>
      <c r="E381" t="s">
        <v>981</v>
      </c>
      <c r="N381" t="str">
        <f>CONCATENATE(" |}&lt;br&gt;* [http://atom.kaeri.re.kr/cgi-bin/nuclide?nuc=",B381," alle bekannten ",D381,"-Isotope]")</f>
        <v xml:space="preserve"> |}&lt;br&gt;* [http://atom.kaeri.re.kr/cgi-bin/nuclide?nuc=Tm alle bekannten Thulium-Isotope]</v>
      </c>
    </row>
    <row r="382" spans="1:14" ht="15.95" customHeight="1">
      <c r="A382">
        <v>70</v>
      </c>
      <c r="B382" s="23" t="s">
        <v>346</v>
      </c>
      <c r="C382" s="17">
        <v>0</v>
      </c>
      <c r="D382" t="s">
        <v>347</v>
      </c>
      <c r="E382" t="s">
        <v>981</v>
      </c>
      <c r="N382" t="str">
        <f>CONCATENATE("=== [[",D382,"]] ===&lt;br&gt;{| {{tabelle}}&lt;br&gt;! Isotop !! ",$D$1," !! [[",$E$1,"]] !! ",$F$1," &lt;br&gt; |-")</f>
        <v>=== [[Ytterbium]] ===&lt;br&gt;{| {{tabelle}}&lt;br&gt;! Isotop !! natürliche Häufigkeit !! [[Halbwertszeit]] !! Herkunft, techn. Bedeutung &lt;br&gt; |-</v>
      </c>
    </row>
    <row r="383" spans="1:14" ht="15.95" customHeight="1">
      <c r="A383" s="17">
        <v>70</v>
      </c>
      <c r="B383" s="21" t="s">
        <v>346</v>
      </c>
      <c r="C383" s="17">
        <v>168</v>
      </c>
      <c r="D383" s="17">
        <v>0.13</v>
      </c>
      <c r="E383" t="s">
        <v>981</v>
      </c>
      <c r="G383" t="str">
        <f t="shared" ref="G383:G389" si="64">CONCATENATE("[","http://atom.kaeri.re.kr/cgi-bin/nuclide?nuc=",B383,"-",C383," &lt;sub&gt;",C383,"&lt;/sub&gt;",B383,"]")</f>
        <v>[http://atom.kaeri.re.kr/cgi-bin/nuclide?nuc=Yb-168 &lt;sub&gt;168&lt;/sub&gt;Yb]</v>
      </c>
      <c r="H383" t="str">
        <f t="shared" ref="H383:H389" si="65">CONCATENATE(D383," % || ",E383)</f>
        <v>0,13 % || stabil</v>
      </c>
      <c r="I383" t="str">
        <f t="shared" ref="I383:I389" si="66">CONCATENATE(" | ",G383," || ",H383," || ",F383)</f>
        <v xml:space="preserve"> | [http://atom.kaeri.re.kr/cgi-bin/nuclide?nuc=Yb-168 &lt;sub&gt;168&lt;/sub&gt;Yb] || 0,13 % || stabil || </v>
      </c>
      <c r="N383" t="str">
        <f t="shared" ref="N383:N389" si="67">CONCATENATE(I383,"&lt;br&gt;"," |-")</f>
        <v xml:space="preserve"> | [http://atom.kaeri.re.kr/cgi-bin/nuclide?nuc=Yb-168 &lt;sub&gt;168&lt;/sub&gt;Yb] || 0,13 % || stabil || &lt;br&gt; |-</v>
      </c>
    </row>
    <row r="384" spans="1:14" ht="15.95" customHeight="1">
      <c r="A384" s="17">
        <v>70</v>
      </c>
      <c r="B384" s="21" t="s">
        <v>346</v>
      </c>
      <c r="C384" s="17">
        <v>170</v>
      </c>
      <c r="D384" s="17">
        <v>3.04</v>
      </c>
      <c r="E384" t="s">
        <v>981</v>
      </c>
      <c r="G384" t="str">
        <f t="shared" si="64"/>
        <v>[http://atom.kaeri.re.kr/cgi-bin/nuclide?nuc=Yb-170 &lt;sub&gt;170&lt;/sub&gt;Yb]</v>
      </c>
      <c r="H384" t="str">
        <f t="shared" si="65"/>
        <v>3,04 % || stabil</v>
      </c>
      <c r="I384" t="str">
        <f t="shared" si="66"/>
        <v xml:space="preserve"> | [http://atom.kaeri.re.kr/cgi-bin/nuclide?nuc=Yb-170 &lt;sub&gt;170&lt;/sub&gt;Yb] || 3,04 % || stabil || </v>
      </c>
      <c r="N384" t="str">
        <f t="shared" si="67"/>
        <v xml:space="preserve"> | [http://atom.kaeri.re.kr/cgi-bin/nuclide?nuc=Yb-170 &lt;sub&gt;170&lt;/sub&gt;Yb] || 3,04 % || stabil || &lt;br&gt; |-</v>
      </c>
    </row>
    <row r="385" spans="1:14" ht="15.95" customHeight="1">
      <c r="A385" s="17">
        <v>70</v>
      </c>
      <c r="B385" s="21" t="s">
        <v>346</v>
      </c>
      <c r="C385" s="17">
        <v>171</v>
      </c>
      <c r="D385" s="17">
        <v>14.28</v>
      </c>
      <c r="E385" t="s">
        <v>981</v>
      </c>
      <c r="G385" t="str">
        <f t="shared" si="64"/>
        <v>[http://atom.kaeri.re.kr/cgi-bin/nuclide?nuc=Yb-171 &lt;sub&gt;171&lt;/sub&gt;Yb]</v>
      </c>
      <c r="H385" t="str">
        <f t="shared" si="65"/>
        <v>14,28 % || stabil</v>
      </c>
      <c r="I385" t="str">
        <f t="shared" si="66"/>
        <v xml:space="preserve"> | [http://atom.kaeri.re.kr/cgi-bin/nuclide?nuc=Yb-171 &lt;sub&gt;171&lt;/sub&gt;Yb] || 14,28 % || stabil || </v>
      </c>
      <c r="N385" t="str">
        <f t="shared" si="67"/>
        <v xml:space="preserve"> | [http://atom.kaeri.re.kr/cgi-bin/nuclide?nuc=Yb-171 &lt;sub&gt;171&lt;/sub&gt;Yb] || 14,28 % || stabil || &lt;br&gt; |-</v>
      </c>
    </row>
    <row r="386" spans="1:14" ht="15.95" customHeight="1">
      <c r="A386" s="17">
        <v>70</v>
      </c>
      <c r="B386" s="21" t="s">
        <v>346</v>
      </c>
      <c r="C386" s="17">
        <v>172</v>
      </c>
      <c r="D386" s="17">
        <v>21.83</v>
      </c>
      <c r="E386" t="s">
        <v>981</v>
      </c>
      <c r="G386" t="str">
        <f t="shared" si="64"/>
        <v>[http://atom.kaeri.re.kr/cgi-bin/nuclide?nuc=Yb-172 &lt;sub&gt;172&lt;/sub&gt;Yb]</v>
      </c>
      <c r="H386" t="str">
        <f t="shared" si="65"/>
        <v>21,83 % || stabil</v>
      </c>
      <c r="I386" t="str">
        <f t="shared" si="66"/>
        <v xml:space="preserve"> | [http://atom.kaeri.re.kr/cgi-bin/nuclide?nuc=Yb-172 &lt;sub&gt;172&lt;/sub&gt;Yb] || 21,83 % || stabil || </v>
      </c>
      <c r="N386" t="str">
        <f t="shared" si="67"/>
        <v xml:space="preserve"> | [http://atom.kaeri.re.kr/cgi-bin/nuclide?nuc=Yb-172 &lt;sub&gt;172&lt;/sub&gt;Yb] || 21,83 % || stabil || &lt;br&gt; |-</v>
      </c>
    </row>
    <row r="387" spans="1:14" ht="15.95" customHeight="1">
      <c r="A387" s="17">
        <v>70</v>
      </c>
      <c r="B387" s="21" t="s">
        <v>346</v>
      </c>
      <c r="C387" s="17">
        <v>173</v>
      </c>
      <c r="D387" s="17">
        <v>16.13</v>
      </c>
      <c r="E387" t="s">
        <v>981</v>
      </c>
      <c r="G387" t="str">
        <f t="shared" si="64"/>
        <v>[http://atom.kaeri.re.kr/cgi-bin/nuclide?nuc=Yb-173 &lt;sub&gt;173&lt;/sub&gt;Yb]</v>
      </c>
      <c r="H387" t="str">
        <f t="shared" si="65"/>
        <v>16,13 % || stabil</v>
      </c>
      <c r="I387" t="str">
        <f t="shared" si="66"/>
        <v xml:space="preserve"> | [http://atom.kaeri.re.kr/cgi-bin/nuclide?nuc=Yb-173 &lt;sub&gt;173&lt;/sub&gt;Yb] || 16,13 % || stabil || </v>
      </c>
      <c r="N387" t="str">
        <f t="shared" si="67"/>
        <v xml:space="preserve"> | [http://atom.kaeri.re.kr/cgi-bin/nuclide?nuc=Yb-173 &lt;sub&gt;173&lt;/sub&gt;Yb] || 16,13 % || stabil || &lt;br&gt; |-</v>
      </c>
    </row>
    <row r="388" spans="1:14" ht="15.95" customHeight="1">
      <c r="A388" s="17">
        <v>70</v>
      </c>
      <c r="B388" s="21" t="s">
        <v>346</v>
      </c>
      <c r="C388" s="17">
        <v>174</v>
      </c>
      <c r="D388" s="17">
        <v>31.83</v>
      </c>
      <c r="E388" t="s">
        <v>981</v>
      </c>
      <c r="G388" t="str">
        <f t="shared" si="64"/>
        <v>[http://atom.kaeri.re.kr/cgi-bin/nuclide?nuc=Yb-174 &lt;sub&gt;174&lt;/sub&gt;Yb]</v>
      </c>
      <c r="H388" t="str">
        <f t="shared" si="65"/>
        <v>31,83 % || stabil</v>
      </c>
      <c r="I388" t="str">
        <f t="shared" si="66"/>
        <v xml:space="preserve"> | [http://atom.kaeri.re.kr/cgi-bin/nuclide?nuc=Yb-174 &lt;sub&gt;174&lt;/sub&gt;Yb] || 31,83 % || stabil || </v>
      </c>
      <c r="N388" t="str">
        <f t="shared" si="67"/>
        <v xml:space="preserve"> | [http://atom.kaeri.re.kr/cgi-bin/nuclide?nuc=Yb-174 &lt;sub&gt;174&lt;/sub&gt;Yb] || 31,83 % || stabil || &lt;br&gt; |-</v>
      </c>
    </row>
    <row r="389" spans="1:14" ht="15.95" customHeight="1">
      <c r="A389" s="17">
        <v>70</v>
      </c>
      <c r="B389" s="21" t="s">
        <v>346</v>
      </c>
      <c r="C389" s="17">
        <v>176</v>
      </c>
      <c r="D389" s="17">
        <v>12.76</v>
      </c>
      <c r="E389" t="s">
        <v>981</v>
      </c>
      <c r="G389" t="str">
        <f t="shared" si="64"/>
        <v>[http://atom.kaeri.re.kr/cgi-bin/nuclide?nuc=Yb-176 &lt;sub&gt;176&lt;/sub&gt;Yb]</v>
      </c>
      <c r="H389" t="str">
        <f t="shared" si="65"/>
        <v>12,76 % || stabil</v>
      </c>
      <c r="I389" t="str">
        <f t="shared" si="66"/>
        <v xml:space="preserve"> | [http://atom.kaeri.re.kr/cgi-bin/nuclide?nuc=Yb-176 &lt;sub&gt;176&lt;/sub&gt;Yb] || 12,76 % || stabil || </v>
      </c>
      <c r="N389" t="str">
        <f t="shared" si="67"/>
        <v xml:space="preserve"> | [http://atom.kaeri.re.kr/cgi-bin/nuclide?nuc=Yb-176 &lt;sub&gt;176&lt;/sub&gt;Yb] || 12,76 % || stabil || &lt;br&gt; |-</v>
      </c>
    </row>
    <row r="390" spans="1:14" ht="15.95" customHeight="1">
      <c r="A390">
        <v>70</v>
      </c>
      <c r="B390" s="23" t="s">
        <v>346</v>
      </c>
      <c r="C390">
        <v>999</v>
      </c>
      <c r="D390" t="s">
        <v>347</v>
      </c>
      <c r="E390" t="s">
        <v>981</v>
      </c>
      <c r="N390" t="str">
        <f>CONCATENATE(" |}&lt;br&gt;* [http://atom.kaeri.re.kr/cgi-bin/nuclide?nuc=",B390," alle bekannten ",D390,"-Isotope]")</f>
        <v xml:space="preserve"> |}&lt;br&gt;* [http://atom.kaeri.re.kr/cgi-bin/nuclide?nuc=Yb alle bekannten Ytterbium-Isotope]</v>
      </c>
    </row>
    <row r="391" spans="1:14" ht="15.95" customHeight="1">
      <c r="A391">
        <v>71</v>
      </c>
      <c r="B391" s="23" t="s">
        <v>349</v>
      </c>
      <c r="C391" s="17">
        <v>0</v>
      </c>
      <c r="D391" t="s">
        <v>350</v>
      </c>
      <c r="E391" t="s">
        <v>981</v>
      </c>
      <c r="N391" t="str">
        <f>CONCATENATE("=== [[",D391,"]] ===&lt;br&gt;{| {{tabelle}}&lt;br&gt;! Isotop !! ",$D$1," !! [[",$E$1,"]] !! ",$F$1," &lt;br&gt; |-")</f>
        <v>=== [[Lutetium]] ===&lt;br&gt;{| {{tabelle}}&lt;br&gt;! Isotop !! natürliche Häufigkeit !! [[Halbwertszeit]] !! Herkunft, techn. Bedeutung &lt;br&gt; |-</v>
      </c>
    </row>
    <row r="392" spans="1:14" ht="15.95" customHeight="1">
      <c r="A392" s="17">
        <v>71</v>
      </c>
      <c r="B392" s="21" t="s">
        <v>349</v>
      </c>
      <c r="C392" s="17">
        <v>175</v>
      </c>
      <c r="D392" s="17">
        <v>97.41</v>
      </c>
      <c r="E392" t="s">
        <v>981</v>
      </c>
      <c r="G392" t="str">
        <f>CONCATENATE("[","http://atom.kaeri.re.kr/cgi-bin/nuclide?nuc=",B392,"-",C392," &lt;sub&gt;",C392,"&lt;/sub&gt;",B392,"]")</f>
        <v>[http://atom.kaeri.re.kr/cgi-bin/nuclide?nuc=Lu-175 &lt;sub&gt;175&lt;/sub&gt;Lu]</v>
      </c>
      <c r="H392" t="str">
        <f>CONCATENATE(D392," % || ",E392)</f>
        <v>97,41 % || stabil</v>
      </c>
      <c r="I392" t="str">
        <f>CONCATENATE(" | ",G392," || ",H392," || ",F392)</f>
        <v xml:space="preserve"> | [http://atom.kaeri.re.kr/cgi-bin/nuclide?nuc=Lu-175 &lt;sub&gt;175&lt;/sub&gt;Lu] || 97,41 % || stabil || </v>
      </c>
      <c r="N392" t="str">
        <f>CONCATENATE(I392,"&lt;br&gt;"," |-")</f>
        <v xml:space="preserve"> | [http://atom.kaeri.re.kr/cgi-bin/nuclide?nuc=Lu-175 &lt;sub&gt;175&lt;/sub&gt;Lu] || 97,41 % || stabil || &lt;br&gt; |-</v>
      </c>
    </row>
    <row r="393" spans="1:14" ht="15.95" customHeight="1">
      <c r="A393" s="17">
        <v>71</v>
      </c>
      <c r="B393" s="21" t="s">
        <v>349</v>
      </c>
      <c r="C393" s="17">
        <v>176</v>
      </c>
      <c r="D393" s="17">
        <v>2.59</v>
      </c>
      <c r="E393" t="s">
        <v>981</v>
      </c>
      <c r="G393" t="str">
        <f>CONCATENATE("[","http://atom.kaeri.re.kr/cgi-bin/nuclide?nuc=",B393,"-",C393," &lt;sub&gt;",C393,"&lt;/sub&gt;",B393,"]")</f>
        <v>[http://atom.kaeri.re.kr/cgi-bin/nuclide?nuc=Lu-176 &lt;sub&gt;176&lt;/sub&gt;Lu]</v>
      </c>
      <c r="H393" t="str">
        <f>CONCATENATE(D393," % || ",E393)</f>
        <v>2,59 % || stabil</v>
      </c>
      <c r="I393" t="str">
        <f>CONCATENATE(" | ",G393," || ",H393," || ",F393)</f>
        <v xml:space="preserve"> | [http://atom.kaeri.re.kr/cgi-bin/nuclide?nuc=Lu-176 &lt;sub&gt;176&lt;/sub&gt;Lu] || 2,59 % || stabil || </v>
      </c>
      <c r="N393" t="str">
        <f>CONCATENATE(I393,"&lt;br&gt;"," |-")</f>
        <v xml:space="preserve"> | [http://atom.kaeri.re.kr/cgi-bin/nuclide?nuc=Lu-176 &lt;sub&gt;176&lt;/sub&gt;Lu] || 2,59 % || stabil || &lt;br&gt; |-</v>
      </c>
    </row>
    <row r="394" spans="1:14" ht="15.95" customHeight="1">
      <c r="A394">
        <v>71</v>
      </c>
      <c r="B394" s="23" t="s">
        <v>349</v>
      </c>
      <c r="C394">
        <v>999</v>
      </c>
      <c r="D394" t="s">
        <v>350</v>
      </c>
      <c r="E394" t="s">
        <v>981</v>
      </c>
      <c r="N394" t="str">
        <f>CONCATENATE(" |}&lt;br&gt;* [http://atom.kaeri.re.kr/cgi-bin/nuclide?nuc=",B394," alle bekannten ",D394,"-Isotope]")</f>
        <v xml:space="preserve"> |}&lt;br&gt;* [http://atom.kaeri.re.kr/cgi-bin/nuclide?nuc=Lu alle bekannten Lutetium-Isotope]</v>
      </c>
    </row>
    <row r="395" spans="1:14" ht="15.95" customHeight="1">
      <c r="A395">
        <v>72</v>
      </c>
      <c r="B395" s="23" t="s">
        <v>352</v>
      </c>
      <c r="C395" s="17">
        <v>0</v>
      </c>
      <c r="D395" t="s">
        <v>353</v>
      </c>
      <c r="E395" t="s">
        <v>981</v>
      </c>
      <c r="N395" t="str">
        <f>CONCATENATE("=== [[",D395,"]] ===&lt;br&gt;{| {{tabelle}}&lt;br&gt;! Isotop !! ",$D$1," !! [[",$E$1,"]] !! ",$F$1," &lt;br&gt; |-")</f>
        <v>=== [[Hafnium]] ===&lt;br&gt;{| {{tabelle}}&lt;br&gt;! Isotop !! natürliche Häufigkeit !! [[Halbwertszeit]] !! Herkunft, techn. Bedeutung &lt;br&gt; |-</v>
      </c>
    </row>
    <row r="396" spans="1:14" ht="15.95" customHeight="1">
      <c r="A396" s="17">
        <v>72</v>
      </c>
      <c r="B396" s="21" t="s">
        <v>352</v>
      </c>
      <c r="C396" s="17">
        <v>174</v>
      </c>
      <c r="D396" s="17">
        <v>0.16</v>
      </c>
      <c r="E396" t="s">
        <v>981</v>
      </c>
      <c r="G396" t="str">
        <f t="shared" ref="G396:G401" si="68">CONCATENATE("[","http://atom.kaeri.re.kr/cgi-bin/nuclide?nuc=",B396,"-",C396," &lt;sub&gt;",C396,"&lt;/sub&gt;",B396,"]")</f>
        <v>[http://atom.kaeri.re.kr/cgi-bin/nuclide?nuc=Hf-174 &lt;sub&gt;174&lt;/sub&gt;Hf]</v>
      </c>
      <c r="H396" t="str">
        <f t="shared" ref="H396:H401" si="69">CONCATENATE(D396," % || ",E396)</f>
        <v>0,16 % || stabil</v>
      </c>
      <c r="I396" t="str">
        <f t="shared" ref="I396:I401" si="70">CONCATENATE(" | ",G396," || ",H396," || ",F396)</f>
        <v xml:space="preserve"> | [http://atom.kaeri.re.kr/cgi-bin/nuclide?nuc=Hf-174 &lt;sub&gt;174&lt;/sub&gt;Hf] || 0,16 % || stabil || </v>
      </c>
      <c r="N396" t="str">
        <f t="shared" ref="N396:N401" si="71">CONCATENATE(I396,"&lt;br&gt;"," |-")</f>
        <v xml:space="preserve"> | [http://atom.kaeri.re.kr/cgi-bin/nuclide?nuc=Hf-174 &lt;sub&gt;174&lt;/sub&gt;Hf] || 0,16 % || stabil || &lt;br&gt; |-</v>
      </c>
    </row>
    <row r="397" spans="1:14" ht="15.95" customHeight="1">
      <c r="A397" s="17">
        <v>72</v>
      </c>
      <c r="B397" s="21" t="s">
        <v>352</v>
      </c>
      <c r="C397" s="17">
        <v>176</v>
      </c>
      <c r="D397" s="17">
        <v>5.26</v>
      </c>
      <c r="E397" t="s">
        <v>981</v>
      </c>
      <c r="G397" t="str">
        <f t="shared" si="68"/>
        <v>[http://atom.kaeri.re.kr/cgi-bin/nuclide?nuc=Hf-176 &lt;sub&gt;176&lt;/sub&gt;Hf]</v>
      </c>
      <c r="H397" t="str">
        <f t="shared" si="69"/>
        <v>5,26 % || stabil</v>
      </c>
      <c r="I397" t="str">
        <f t="shared" si="70"/>
        <v xml:space="preserve"> | [http://atom.kaeri.re.kr/cgi-bin/nuclide?nuc=Hf-176 &lt;sub&gt;176&lt;/sub&gt;Hf] || 5,26 % || stabil || </v>
      </c>
      <c r="N397" t="str">
        <f t="shared" si="71"/>
        <v xml:space="preserve"> | [http://atom.kaeri.re.kr/cgi-bin/nuclide?nuc=Hf-176 &lt;sub&gt;176&lt;/sub&gt;Hf] || 5,26 % || stabil || &lt;br&gt; |-</v>
      </c>
    </row>
    <row r="398" spans="1:14" ht="15.95" customHeight="1">
      <c r="A398" s="17">
        <v>72</v>
      </c>
      <c r="B398" s="21" t="s">
        <v>352</v>
      </c>
      <c r="C398" s="17">
        <v>177</v>
      </c>
      <c r="D398" s="17">
        <v>18.600000000000001</v>
      </c>
      <c r="E398" t="s">
        <v>981</v>
      </c>
      <c r="G398" t="str">
        <f t="shared" si="68"/>
        <v>[http://atom.kaeri.re.kr/cgi-bin/nuclide?nuc=Hf-177 &lt;sub&gt;177&lt;/sub&gt;Hf]</v>
      </c>
      <c r="H398" t="str">
        <f t="shared" si="69"/>
        <v>18,6 % || stabil</v>
      </c>
      <c r="I398" t="str">
        <f t="shared" si="70"/>
        <v xml:space="preserve"> | [http://atom.kaeri.re.kr/cgi-bin/nuclide?nuc=Hf-177 &lt;sub&gt;177&lt;/sub&gt;Hf] || 18,6 % || stabil || </v>
      </c>
      <c r="N398" t="str">
        <f t="shared" si="71"/>
        <v xml:space="preserve"> | [http://atom.kaeri.re.kr/cgi-bin/nuclide?nuc=Hf-177 &lt;sub&gt;177&lt;/sub&gt;Hf] || 18,6 % || stabil || &lt;br&gt; |-</v>
      </c>
    </row>
    <row r="399" spans="1:14" ht="15.95" customHeight="1">
      <c r="A399" s="17">
        <v>72</v>
      </c>
      <c r="B399" s="21" t="s">
        <v>352</v>
      </c>
      <c r="C399" s="17">
        <v>178</v>
      </c>
      <c r="D399" s="17">
        <v>27.28</v>
      </c>
      <c r="E399" t="s">
        <v>981</v>
      </c>
      <c r="G399" t="str">
        <f t="shared" si="68"/>
        <v>[http://atom.kaeri.re.kr/cgi-bin/nuclide?nuc=Hf-178 &lt;sub&gt;178&lt;/sub&gt;Hf]</v>
      </c>
      <c r="H399" t="str">
        <f t="shared" si="69"/>
        <v>27,28 % || stabil</v>
      </c>
      <c r="I399" t="str">
        <f t="shared" si="70"/>
        <v xml:space="preserve"> | [http://atom.kaeri.re.kr/cgi-bin/nuclide?nuc=Hf-178 &lt;sub&gt;178&lt;/sub&gt;Hf] || 27,28 % || stabil || </v>
      </c>
      <c r="N399" t="str">
        <f t="shared" si="71"/>
        <v xml:space="preserve"> | [http://atom.kaeri.re.kr/cgi-bin/nuclide?nuc=Hf-178 &lt;sub&gt;178&lt;/sub&gt;Hf] || 27,28 % || stabil || &lt;br&gt; |-</v>
      </c>
    </row>
    <row r="400" spans="1:14" ht="15.95" customHeight="1">
      <c r="A400" s="17">
        <v>72</v>
      </c>
      <c r="B400" s="21" t="s">
        <v>352</v>
      </c>
      <c r="C400" s="17">
        <v>179</v>
      </c>
      <c r="D400" s="17">
        <v>13.62</v>
      </c>
      <c r="E400" t="s">
        <v>981</v>
      </c>
      <c r="G400" t="str">
        <f t="shared" si="68"/>
        <v>[http://atom.kaeri.re.kr/cgi-bin/nuclide?nuc=Hf-179 &lt;sub&gt;179&lt;/sub&gt;Hf]</v>
      </c>
      <c r="H400" t="str">
        <f t="shared" si="69"/>
        <v>13,62 % || stabil</v>
      </c>
      <c r="I400" t="str">
        <f t="shared" si="70"/>
        <v xml:space="preserve"> | [http://atom.kaeri.re.kr/cgi-bin/nuclide?nuc=Hf-179 &lt;sub&gt;179&lt;/sub&gt;Hf] || 13,62 % || stabil || </v>
      </c>
      <c r="N400" t="str">
        <f t="shared" si="71"/>
        <v xml:space="preserve"> | [http://atom.kaeri.re.kr/cgi-bin/nuclide?nuc=Hf-179 &lt;sub&gt;179&lt;/sub&gt;Hf] || 13,62 % || stabil || &lt;br&gt; |-</v>
      </c>
    </row>
    <row r="401" spans="1:14" ht="15.95" customHeight="1">
      <c r="A401" s="17">
        <v>72</v>
      </c>
      <c r="B401" s="21" t="s">
        <v>352</v>
      </c>
      <c r="C401" s="17">
        <v>180</v>
      </c>
      <c r="D401" s="17">
        <v>35.08</v>
      </c>
      <c r="E401" t="s">
        <v>981</v>
      </c>
      <c r="G401" t="str">
        <f t="shared" si="68"/>
        <v>[http://atom.kaeri.re.kr/cgi-bin/nuclide?nuc=Hf-180 &lt;sub&gt;180&lt;/sub&gt;Hf]</v>
      </c>
      <c r="H401" t="str">
        <f t="shared" si="69"/>
        <v>35,08 % || stabil</v>
      </c>
      <c r="I401" t="str">
        <f t="shared" si="70"/>
        <v xml:space="preserve"> | [http://atom.kaeri.re.kr/cgi-bin/nuclide?nuc=Hf-180 &lt;sub&gt;180&lt;/sub&gt;Hf] || 35,08 % || stabil || </v>
      </c>
      <c r="N401" t="str">
        <f t="shared" si="71"/>
        <v xml:space="preserve"> | [http://atom.kaeri.re.kr/cgi-bin/nuclide?nuc=Hf-180 &lt;sub&gt;180&lt;/sub&gt;Hf] || 35,08 % || stabil || &lt;br&gt; |-</v>
      </c>
    </row>
    <row r="402" spans="1:14" ht="15.95" customHeight="1">
      <c r="A402">
        <v>72</v>
      </c>
      <c r="B402" s="23" t="s">
        <v>352</v>
      </c>
      <c r="C402">
        <v>999</v>
      </c>
      <c r="D402" t="s">
        <v>353</v>
      </c>
      <c r="E402" t="s">
        <v>981</v>
      </c>
      <c r="N402" t="str">
        <f>CONCATENATE(" |}&lt;br&gt;* [http://atom.kaeri.re.kr/cgi-bin/nuclide?nuc=",B402," alle bekannten ",D402,"-Isotope]")</f>
        <v xml:space="preserve"> |}&lt;br&gt;* [http://atom.kaeri.re.kr/cgi-bin/nuclide?nuc=Hf alle bekannten Hafnium-Isotope]</v>
      </c>
    </row>
    <row r="403" spans="1:14" ht="15.95" customHeight="1">
      <c r="A403">
        <v>73</v>
      </c>
      <c r="B403" s="23" t="s">
        <v>355</v>
      </c>
      <c r="C403" s="17">
        <v>0</v>
      </c>
      <c r="D403" t="s">
        <v>356</v>
      </c>
      <c r="E403" t="s">
        <v>981</v>
      </c>
      <c r="N403" t="str">
        <f>CONCATENATE("=== [[",D403,"]] ===&lt;br&gt;{| {{tabelle}}&lt;br&gt;! Isotop !! ",$D$1," !! [[",$E$1,"]] !! ",$F$1," &lt;br&gt; |-")</f>
        <v>=== [[Tantal]] ===&lt;br&gt;{| {{tabelle}}&lt;br&gt;! Isotop !! natürliche Häufigkeit !! [[Halbwertszeit]] !! Herkunft, techn. Bedeutung &lt;br&gt; |-</v>
      </c>
    </row>
    <row r="404" spans="1:14" ht="15.95" customHeight="1">
      <c r="A404" s="17">
        <v>73</v>
      </c>
      <c r="B404" s="21" t="s">
        <v>355</v>
      </c>
      <c r="C404" s="17">
        <v>180</v>
      </c>
      <c r="D404" s="17">
        <v>1.2E-2</v>
      </c>
      <c r="E404" t="s">
        <v>981</v>
      </c>
      <c r="G404" t="str">
        <f>CONCATENATE("[","http://atom.kaeri.re.kr/cgi-bin/nuclide?nuc=",B404,"-",C404," &lt;sub&gt;",C404,"&lt;/sub&gt;",B404,"]")</f>
        <v>[http://atom.kaeri.re.kr/cgi-bin/nuclide?nuc=Ta-180 &lt;sub&gt;180&lt;/sub&gt;Ta]</v>
      </c>
      <c r="H404" t="str">
        <f>CONCATENATE(D404," % || ",E404)</f>
        <v>0,012 % || stabil</v>
      </c>
      <c r="I404" t="str">
        <f>CONCATENATE(" | ",G404," || ",H404," || ",F404)</f>
        <v xml:space="preserve"> | [http://atom.kaeri.re.kr/cgi-bin/nuclide?nuc=Ta-180 &lt;sub&gt;180&lt;/sub&gt;Ta] || 0,012 % || stabil || </v>
      </c>
      <c r="N404" t="str">
        <f>CONCATENATE(I404,"&lt;br&gt;"," |-")</f>
        <v xml:space="preserve"> | [http://atom.kaeri.re.kr/cgi-bin/nuclide?nuc=Ta-180 &lt;sub&gt;180&lt;/sub&gt;Ta] || 0,012 % || stabil || &lt;br&gt; |-</v>
      </c>
    </row>
    <row r="405" spans="1:14" ht="15.95" customHeight="1">
      <c r="A405" s="17">
        <v>73</v>
      </c>
      <c r="B405" s="21" t="s">
        <v>355</v>
      </c>
      <c r="C405" s="17">
        <v>181</v>
      </c>
      <c r="D405" s="17">
        <v>99.988</v>
      </c>
      <c r="E405" t="s">
        <v>981</v>
      </c>
      <c r="G405" t="str">
        <f>CONCATENATE("[","http://atom.kaeri.re.kr/cgi-bin/nuclide?nuc=",B405,"-",C405," &lt;sub&gt;",C405,"&lt;/sub&gt;",B405,"]")</f>
        <v>[http://atom.kaeri.re.kr/cgi-bin/nuclide?nuc=Ta-181 &lt;sub&gt;181&lt;/sub&gt;Ta]</v>
      </c>
      <c r="H405" t="str">
        <f>CONCATENATE(D405," % || ",E405)</f>
        <v>99,988 % || stabil</v>
      </c>
      <c r="I405" t="str">
        <f>CONCATENATE(" | ",G405," || ",H405," || ",F405)</f>
        <v xml:space="preserve"> | [http://atom.kaeri.re.kr/cgi-bin/nuclide?nuc=Ta-181 &lt;sub&gt;181&lt;/sub&gt;Ta] || 99,988 % || stabil || </v>
      </c>
      <c r="N405" t="str">
        <f>CONCATENATE(I405,"&lt;br&gt;"," |-")</f>
        <v xml:space="preserve"> | [http://atom.kaeri.re.kr/cgi-bin/nuclide?nuc=Ta-181 &lt;sub&gt;181&lt;/sub&gt;Ta] || 99,988 % || stabil || &lt;br&gt; |-</v>
      </c>
    </row>
    <row r="406" spans="1:14" ht="15.95" customHeight="1">
      <c r="A406">
        <v>73</v>
      </c>
      <c r="B406" s="23" t="s">
        <v>355</v>
      </c>
      <c r="C406">
        <v>999</v>
      </c>
      <c r="D406" t="s">
        <v>356</v>
      </c>
      <c r="E406" t="s">
        <v>981</v>
      </c>
      <c r="N406" t="str">
        <f>CONCATENATE(" |}&lt;br&gt;* [http://atom.kaeri.re.kr/cgi-bin/nuclide?nuc=",B406," alle bekannten ",D406,"-Isotope]")</f>
        <v xml:space="preserve"> |}&lt;br&gt;* [http://atom.kaeri.re.kr/cgi-bin/nuclide?nuc=Ta alle bekannten Tantal-Isotope]</v>
      </c>
    </row>
    <row r="407" spans="1:14" ht="15.95" customHeight="1">
      <c r="A407">
        <v>74</v>
      </c>
      <c r="B407" s="23" t="s">
        <v>357</v>
      </c>
      <c r="C407" s="17">
        <v>0</v>
      </c>
      <c r="D407" t="s">
        <v>358</v>
      </c>
      <c r="E407" t="s">
        <v>981</v>
      </c>
      <c r="N407" t="str">
        <f>CONCATENATE("=== [[",D407,"]] ===&lt;br&gt;{| {{tabelle}}&lt;br&gt;! Isotop !! ",$D$1," !! [[",$E$1,"]] !! ",$F$1," &lt;br&gt; |-")</f>
        <v>=== [[Wolfram]] ===&lt;br&gt;{| {{tabelle}}&lt;br&gt;! Isotop !! natürliche Häufigkeit !! [[Halbwertszeit]] !! Herkunft, techn. Bedeutung &lt;br&gt; |-</v>
      </c>
    </row>
    <row r="408" spans="1:14" ht="15.95" customHeight="1">
      <c r="A408" s="17">
        <v>74</v>
      </c>
      <c r="B408" s="21" t="s">
        <v>357</v>
      </c>
      <c r="C408" s="17">
        <v>180</v>
      </c>
      <c r="D408" s="17">
        <v>0.12</v>
      </c>
      <c r="E408" t="s">
        <v>981</v>
      </c>
      <c r="G408" t="str">
        <f>CONCATENATE("[","http://atom.kaeri.re.kr/cgi-bin/nuclide?nuc=",B408,"-",C408," &lt;sub&gt;",C408,"&lt;/sub&gt;",B408,"]")</f>
        <v>[http://atom.kaeri.re.kr/cgi-bin/nuclide?nuc=W-180 &lt;sub&gt;180&lt;/sub&gt;W]</v>
      </c>
      <c r="H408" t="str">
        <f>CONCATENATE(D408," % || ",E408)</f>
        <v>0,12 % || stabil</v>
      </c>
      <c r="I408" t="str">
        <f>CONCATENATE(" | ",G408," || ",H408," || ",F408)</f>
        <v xml:space="preserve"> | [http://atom.kaeri.re.kr/cgi-bin/nuclide?nuc=W-180 &lt;sub&gt;180&lt;/sub&gt;W] || 0,12 % || stabil || </v>
      </c>
      <c r="N408" t="str">
        <f>CONCATENATE(I408,"&lt;br&gt;"," |-")</f>
        <v xml:space="preserve"> | [http://atom.kaeri.re.kr/cgi-bin/nuclide?nuc=W-180 &lt;sub&gt;180&lt;/sub&gt;W] || 0,12 % || stabil || &lt;br&gt; |-</v>
      </c>
    </row>
    <row r="409" spans="1:14" ht="15.95" customHeight="1">
      <c r="A409" s="17">
        <v>74</v>
      </c>
      <c r="B409" s="21" t="s">
        <v>357</v>
      </c>
      <c r="C409" s="17">
        <v>182</v>
      </c>
      <c r="D409" s="17">
        <v>26.5</v>
      </c>
      <c r="E409" t="s">
        <v>981</v>
      </c>
      <c r="G409" t="str">
        <f>CONCATENATE("[","http://atom.kaeri.re.kr/cgi-bin/nuclide?nuc=",B409,"-",C409," &lt;sub&gt;",C409,"&lt;/sub&gt;",B409,"]")</f>
        <v>[http://atom.kaeri.re.kr/cgi-bin/nuclide?nuc=W-182 &lt;sub&gt;182&lt;/sub&gt;W]</v>
      </c>
      <c r="H409" t="str">
        <f>CONCATENATE(D409," % || ",E409)</f>
        <v>26,5 % || stabil</v>
      </c>
      <c r="I409" t="str">
        <f>CONCATENATE(" | ",G409," || ",H409," || ",F409)</f>
        <v xml:space="preserve"> | [http://atom.kaeri.re.kr/cgi-bin/nuclide?nuc=W-182 &lt;sub&gt;182&lt;/sub&gt;W] || 26,5 % || stabil || </v>
      </c>
      <c r="N409" t="str">
        <f>CONCATENATE(I409,"&lt;br&gt;"," |-")</f>
        <v xml:space="preserve"> | [http://atom.kaeri.re.kr/cgi-bin/nuclide?nuc=W-182 &lt;sub&gt;182&lt;/sub&gt;W] || 26,5 % || stabil || &lt;br&gt; |-</v>
      </c>
    </row>
    <row r="410" spans="1:14" ht="15.95" customHeight="1">
      <c r="A410" s="17">
        <v>74</v>
      </c>
      <c r="B410" s="21" t="s">
        <v>357</v>
      </c>
      <c r="C410" s="17">
        <v>183</v>
      </c>
      <c r="D410" s="17">
        <v>14.31</v>
      </c>
      <c r="E410" t="s">
        <v>981</v>
      </c>
      <c r="G410" t="str">
        <f>CONCATENATE("[","http://atom.kaeri.re.kr/cgi-bin/nuclide?nuc=",B410,"-",C410," &lt;sub&gt;",C410,"&lt;/sub&gt;",B410,"]")</f>
        <v>[http://atom.kaeri.re.kr/cgi-bin/nuclide?nuc=W-183 &lt;sub&gt;183&lt;/sub&gt;W]</v>
      </c>
      <c r="H410" t="str">
        <f>CONCATENATE(D410," % || ",E410)</f>
        <v>14,31 % || stabil</v>
      </c>
      <c r="I410" t="str">
        <f>CONCATENATE(" | ",G410," || ",H410," || ",F410)</f>
        <v xml:space="preserve"> | [http://atom.kaeri.re.kr/cgi-bin/nuclide?nuc=W-183 &lt;sub&gt;183&lt;/sub&gt;W] || 14,31 % || stabil || </v>
      </c>
      <c r="N410" t="str">
        <f>CONCATENATE(I410,"&lt;br&gt;"," |-")</f>
        <v xml:space="preserve"> | [http://atom.kaeri.re.kr/cgi-bin/nuclide?nuc=W-183 &lt;sub&gt;183&lt;/sub&gt;W] || 14,31 % || stabil || &lt;br&gt; |-</v>
      </c>
    </row>
    <row r="411" spans="1:14" ht="15.95" customHeight="1">
      <c r="A411" s="17">
        <v>74</v>
      </c>
      <c r="B411" s="21" t="s">
        <v>357</v>
      </c>
      <c r="C411" s="17">
        <v>184</v>
      </c>
      <c r="D411" s="17">
        <v>30.64</v>
      </c>
      <c r="E411" t="s">
        <v>981</v>
      </c>
      <c r="G411" t="str">
        <f>CONCATENATE("[","http://atom.kaeri.re.kr/cgi-bin/nuclide?nuc=",B411,"-",C411," &lt;sub&gt;",C411,"&lt;/sub&gt;",B411,"]")</f>
        <v>[http://atom.kaeri.re.kr/cgi-bin/nuclide?nuc=W-184 &lt;sub&gt;184&lt;/sub&gt;W]</v>
      </c>
      <c r="H411" t="str">
        <f>CONCATENATE(D411," % || ",E411)</f>
        <v>30,64 % || stabil</v>
      </c>
      <c r="I411" t="str">
        <f>CONCATENATE(" | ",G411," || ",H411," || ",F411)</f>
        <v xml:space="preserve"> | [http://atom.kaeri.re.kr/cgi-bin/nuclide?nuc=W-184 &lt;sub&gt;184&lt;/sub&gt;W] || 30,64 % || stabil || </v>
      </c>
      <c r="N411" t="str">
        <f>CONCATENATE(I411,"&lt;br&gt;"," |-")</f>
        <v xml:space="preserve"> | [http://atom.kaeri.re.kr/cgi-bin/nuclide?nuc=W-184 &lt;sub&gt;184&lt;/sub&gt;W] || 30,64 % || stabil || &lt;br&gt; |-</v>
      </c>
    </row>
    <row r="412" spans="1:14" ht="15.95" customHeight="1">
      <c r="A412" s="17">
        <v>74</v>
      </c>
      <c r="B412" s="21" t="s">
        <v>357</v>
      </c>
      <c r="C412" s="17">
        <v>186</v>
      </c>
      <c r="D412" s="17">
        <v>28.43</v>
      </c>
      <c r="E412" t="s">
        <v>981</v>
      </c>
      <c r="G412" t="str">
        <f>CONCATENATE("[","http://atom.kaeri.re.kr/cgi-bin/nuclide?nuc=",B412,"-",C412," &lt;sub&gt;",C412,"&lt;/sub&gt;",B412,"]")</f>
        <v>[http://atom.kaeri.re.kr/cgi-bin/nuclide?nuc=W-186 &lt;sub&gt;186&lt;/sub&gt;W]</v>
      </c>
      <c r="H412" t="str">
        <f>CONCATENATE(D412," % || ",E412)</f>
        <v>28,43 % || stabil</v>
      </c>
      <c r="I412" t="str">
        <f>CONCATENATE(" | ",G412," || ",H412," || ",F412)</f>
        <v xml:space="preserve"> | [http://atom.kaeri.re.kr/cgi-bin/nuclide?nuc=W-186 &lt;sub&gt;186&lt;/sub&gt;W] || 28,43 % || stabil || </v>
      </c>
      <c r="N412" t="str">
        <f>CONCATENATE(I412,"&lt;br&gt;"," |-")</f>
        <v xml:space="preserve"> | [http://atom.kaeri.re.kr/cgi-bin/nuclide?nuc=W-186 &lt;sub&gt;186&lt;/sub&gt;W] || 28,43 % || stabil || &lt;br&gt; |-</v>
      </c>
    </row>
    <row r="413" spans="1:14" ht="15.95" customHeight="1">
      <c r="A413">
        <v>74</v>
      </c>
      <c r="B413" s="23" t="s">
        <v>357</v>
      </c>
      <c r="C413">
        <v>999</v>
      </c>
      <c r="D413" t="s">
        <v>358</v>
      </c>
      <c r="E413" t="s">
        <v>981</v>
      </c>
      <c r="N413" t="str">
        <f>CONCATENATE(" |}&lt;br&gt;* [http://atom.kaeri.re.kr/cgi-bin/nuclide?nuc=",B413," alle bekannten ",D413,"-Isotope]")</f>
        <v xml:space="preserve"> |}&lt;br&gt;* [http://atom.kaeri.re.kr/cgi-bin/nuclide?nuc=W alle bekannten Wolfram-Isotope]</v>
      </c>
    </row>
    <row r="414" spans="1:14" ht="15.95" customHeight="1">
      <c r="A414">
        <v>75</v>
      </c>
      <c r="B414" s="23" t="s">
        <v>361</v>
      </c>
      <c r="C414" s="17">
        <v>0</v>
      </c>
      <c r="D414" t="s">
        <v>362</v>
      </c>
      <c r="E414" t="s">
        <v>981</v>
      </c>
      <c r="N414" t="str">
        <f>CONCATENATE("=== [[",D414,"]] ===&lt;br&gt;{| {{tabelle}}&lt;br&gt;! Isotop !! ",$D$1," !! [[",$E$1,"]] !! ",$F$1," &lt;br&gt; |-")</f>
        <v>=== [[Rhenium]] ===&lt;br&gt;{| {{tabelle}}&lt;br&gt;! Isotop !! natürliche Häufigkeit !! [[Halbwertszeit]] !! Herkunft, techn. Bedeutung &lt;br&gt; |-</v>
      </c>
    </row>
    <row r="415" spans="1:14" ht="15.95" customHeight="1">
      <c r="A415" s="17">
        <v>75</v>
      </c>
      <c r="B415" s="21" t="s">
        <v>361</v>
      </c>
      <c r="C415" s="17">
        <v>185</v>
      </c>
      <c r="D415" s="17">
        <v>37.4</v>
      </c>
      <c r="E415" t="s">
        <v>981</v>
      </c>
      <c r="G415" t="str">
        <f>CONCATENATE("[","http://atom.kaeri.re.kr/cgi-bin/nuclide?nuc=",B415,"-",C415," &lt;sub&gt;",C415,"&lt;/sub&gt;",B415,"]")</f>
        <v>[http://atom.kaeri.re.kr/cgi-bin/nuclide?nuc=Re-185 &lt;sub&gt;185&lt;/sub&gt;Re]</v>
      </c>
      <c r="H415" t="str">
        <f>CONCATENATE(D415," % || ",E415)</f>
        <v>37,4 % || stabil</v>
      </c>
      <c r="I415" t="str">
        <f>CONCATENATE(" | ",G415," || ",H415," || ",F415)</f>
        <v xml:space="preserve"> | [http://atom.kaeri.re.kr/cgi-bin/nuclide?nuc=Re-185 &lt;sub&gt;185&lt;/sub&gt;Re] || 37,4 % || stabil || </v>
      </c>
      <c r="N415" t="str">
        <f>CONCATENATE(I415,"&lt;br&gt;"," |-")</f>
        <v xml:space="preserve"> | [http://atom.kaeri.re.kr/cgi-bin/nuclide?nuc=Re-185 &lt;sub&gt;185&lt;/sub&gt;Re] || 37,4 % || stabil || &lt;br&gt; |-</v>
      </c>
    </row>
    <row r="416" spans="1:14" ht="15.95" customHeight="1">
      <c r="A416" s="17">
        <v>75</v>
      </c>
      <c r="B416" s="21" t="s">
        <v>361</v>
      </c>
      <c r="C416" s="17">
        <v>187</v>
      </c>
      <c r="D416" s="17">
        <v>62.6</v>
      </c>
      <c r="E416" t="s">
        <v>981</v>
      </c>
      <c r="G416" t="str">
        <f>CONCATENATE("[","http://atom.kaeri.re.kr/cgi-bin/nuclide?nuc=",B416,"-",C416," &lt;sub&gt;",C416,"&lt;/sub&gt;",B416,"]")</f>
        <v>[http://atom.kaeri.re.kr/cgi-bin/nuclide?nuc=Re-187 &lt;sub&gt;187&lt;/sub&gt;Re]</v>
      </c>
      <c r="H416" t="str">
        <f>CONCATENATE(D416," % || ",E416)</f>
        <v>62,6 % || stabil</v>
      </c>
      <c r="I416" t="str">
        <f>CONCATENATE(" | ",G416," || ",H416," || ",F416)</f>
        <v xml:space="preserve"> | [http://atom.kaeri.re.kr/cgi-bin/nuclide?nuc=Re-187 &lt;sub&gt;187&lt;/sub&gt;Re] || 62,6 % || stabil || </v>
      </c>
      <c r="N416" t="str">
        <f>CONCATENATE(I416,"&lt;br&gt;"," |-")</f>
        <v xml:space="preserve"> | [http://atom.kaeri.re.kr/cgi-bin/nuclide?nuc=Re-187 &lt;sub&gt;187&lt;/sub&gt;Re] || 62,6 % || stabil || &lt;br&gt; |-</v>
      </c>
    </row>
    <row r="417" spans="1:14" ht="15.95" customHeight="1">
      <c r="A417">
        <v>75</v>
      </c>
      <c r="B417" s="23" t="s">
        <v>361</v>
      </c>
      <c r="C417">
        <v>999</v>
      </c>
      <c r="D417" t="s">
        <v>362</v>
      </c>
      <c r="E417" t="s">
        <v>981</v>
      </c>
      <c r="N417" t="str">
        <f>CONCATENATE(" |}&lt;br&gt;* [http://atom.kaeri.re.kr/cgi-bin/nuclide?nuc=",B417," alle bekannten ",D417,"-Isotope]")</f>
        <v xml:space="preserve"> |}&lt;br&gt;* [http://atom.kaeri.re.kr/cgi-bin/nuclide?nuc=Re alle bekannten Rhenium-Isotope]</v>
      </c>
    </row>
    <row r="418" spans="1:14" ht="15.95" customHeight="1">
      <c r="A418">
        <v>76</v>
      </c>
      <c r="B418" s="23" t="s">
        <v>364</v>
      </c>
      <c r="C418" s="17">
        <v>0</v>
      </c>
      <c r="D418" t="s">
        <v>365</v>
      </c>
      <c r="E418" t="s">
        <v>981</v>
      </c>
      <c r="N418" t="str">
        <f>CONCATENATE("=== [[",D418,"]] ===&lt;br&gt;{| {{tabelle}}&lt;br&gt;! Isotop !! ",$D$1," !! [[",$E$1,"]] !! ",$F$1," &lt;br&gt; |-")</f>
        <v>=== [[Osmium]] ===&lt;br&gt;{| {{tabelle}}&lt;br&gt;! Isotop !! natürliche Häufigkeit !! [[Halbwertszeit]] !! Herkunft, techn. Bedeutung &lt;br&gt; |-</v>
      </c>
    </row>
    <row r="419" spans="1:14" ht="15.95" customHeight="1">
      <c r="A419" s="17">
        <v>76</v>
      </c>
      <c r="B419" s="21" t="s">
        <v>364</v>
      </c>
      <c r="C419" s="17">
        <v>184</v>
      </c>
      <c r="D419" s="17">
        <v>0.02</v>
      </c>
      <c r="E419" t="s">
        <v>981</v>
      </c>
      <c r="G419" t="str">
        <f t="shared" ref="G419:G425" si="72">CONCATENATE("[","http://atom.kaeri.re.kr/cgi-bin/nuclide?nuc=",B419,"-",C419," &lt;sub&gt;",C419,"&lt;/sub&gt;",B419,"]")</f>
        <v>[http://atom.kaeri.re.kr/cgi-bin/nuclide?nuc=Os-184 &lt;sub&gt;184&lt;/sub&gt;Os]</v>
      </c>
      <c r="H419" t="str">
        <f t="shared" ref="H419:H425" si="73">CONCATENATE(D419," % || ",E419)</f>
        <v>0,02 % || stabil</v>
      </c>
      <c r="I419" t="str">
        <f t="shared" ref="I419:I425" si="74">CONCATENATE(" | ",G419," || ",H419," || ",F419)</f>
        <v xml:space="preserve"> | [http://atom.kaeri.re.kr/cgi-bin/nuclide?nuc=Os-184 &lt;sub&gt;184&lt;/sub&gt;Os] || 0,02 % || stabil || </v>
      </c>
      <c r="N419" t="str">
        <f t="shared" ref="N419:N425" si="75">CONCATENATE(I419,"&lt;br&gt;"," |-")</f>
        <v xml:space="preserve"> | [http://atom.kaeri.re.kr/cgi-bin/nuclide?nuc=Os-184 &lt;sub&gt;184&lt;/sub&gt;Os] || 0,02 % || stabil || &lt;br&gt; |-</v>
      </c>
    </row>
    <row r="420" spans="1:14" ht="15.95" customHeight="1">
      <c r="A420" s="17">
        <v>76</v>
      </c>
      <c r="B420" s="21" t="s">
        <v>364</v>
      </c>
      <c r="C420" s="17">
        <v>186</v>
      </c>
      <c r="D420" s="17">
        <v>1.59</v>
      </c>
      <c r="E420" t="s">
        <v>981</v>
      </c>
      <c r="G420" t="str">
        <f t="shared" si="72"/>
        <v>[http://atom.kaeri.re.kr/cgi-bin/nuclide?nuc=Os-186 &lt;sub&gt;186&lt;/sub&gt;Os]</v>
      </c>
      <c r="H420" t="str">
        <f t="shared" si="73"/>
        <v>1,59 % || stabil</v>
      </c>
      <c r="I420" t="str">
        <f t="shared" si="74"/>
        <v xml:space="preserve"> | [http://atom.kaeri.re.kr/cgi-bin/nuclide?nuc=Os-186 &lt;sub&gt;186&lt;/sub&gt;Os] || 1,59 % || stabil || </v>
      </c>
      <c r="N420" t="str">
        <f t="shared" si="75"/>
        <v xml:space="preserve"> | [http://atom.kaeri.re.kr/cgi-bin/nuclide?nuc=Os-186 &lt;sub&gt;186&lt;/sub&gt;Os] || 1,59 % || stabil || &lt;br&gt; |-</v>
      </c>
    </row>
    <row r="421" spans="1:14" ht="15.95" customHeight="1">
      <c r="A421" s="17">
        <v>76</v>
      </c>
      <c r="B421" s="21" t="s">
        <v>364</v>
      </c>
      <c r="C421" s="17">
        <v>187</v>
      </c>
      <c r="D421" s="17">
        <v>1.96</v>
      </c>
      <c r="E421" t="s">
        <v>981</v>
      </c>
      <c r="G421" t="str">
        <f t="shared" si="72"/>
        <v>[http://atom.kaeri.re.kr/cgi-bin/nuclide?nuc=Os-187 &lt;sub&gt;187&lt;/sub&gt;Os]</v>
      </c>
      <c r="H421" t="str">
        <f t="shared" si="73"/>
        <v>1,96 % || stabil</v>
      </c>
      <c r="I421" t="str">
        <f t="shared" si="74"/>
        <v xml:space="preserve"> | [http://atom.kaeri.re.kr/cgi-bin/nuclide?nuc=Os-187 &lt;sub&gt;187&lt;/sub&gt;Os] || 1,96 % || stabil || </v>
      </c>
      <c r="N421" t="str">
        <f t="shared" si="75"/>
        <v xml:space="preserve"> | [http://atom.kaeri.re.kr/cgi-bin/nuclide?nuc=Os-187 &lt;sub&gt;187&lt;/sub&gt;Os] || 1,96 % || stabil || &lt;br&gt; |-</v>
      </c>
    </row>
    <row r="422" spans="1:14" ht="15.95" customHeight="1">
      <c r="A422" s="17">
        <v>76</v>
      </c>
      <c r="B422" s="21" t="s">
        <v>364</v>
      </c>
      <c r="C422" s="17">
        <v>188</v>
      </c>
      <c r="D422" s="17">
        <v>13.24</v>
      </c>
      <c r="E422" t="s">
        <v>981</v>
      </c>
      <c r="G422" t="str">
        <f t="shared" si="72"/>
        <v>[http://atom.kaeri.re.kr/cgi-bin/nuclide?nuc=Os-188 &lt;sub&gt;188&lt;/sub&gt;Os]</v>
      </c>
      <c r="H422" t="str">
        <f t="shared" si="73"/>
        <v>13,24 % || stabil</v>
      </c>
      <c r="I422" t="str">
        <f t="shared" si="74"/>
        <v xml:space="preserve"> | [http://atom.kaeri.re.kr/cgi-bin/nuclide?nuc=Os-188 &lt;sub&gt;188&lt;/sub&gt;Os] || 13,24 % || stabil || </v>
      </c>
      <c r="N422" t="str">
        <f t="shared" si="75"/>
        <v xml:space="preserve"> | [http://atom.kaeri.re.kr/cgi-bin/nuclide?nuc=Os-188 &lt;sub&gt;188&lt;/sub&gt;Os] || 13,24 % || stabil || &lt;br&gt; |-</v>
      </c>
    </row>
    <row r="423" spans="1:14" ht="15.95" customHeight="1">
      <c r="A423" s="17">
        <v>76</v>
      </c>
      <c r="B423" s="21" t="s">
        <v>364</v>
      </c>
      <c r="C423" s="17">
        <v>189</v>
      </c>
      <c r="D423" s="17">
        <v>16.149999999999999</v>
      </c>
      <c r="E423" t="s">
        <v>981</v>
      </c>
      <c r="G423" t="str">
        <f t="shared" si="72"/>
        <v>[http://atom.kaeri.re.kr/cgi-bin/nuclide?nuc=Os-189 &lt;sub&gt;189&lt;/sub&gt;Os]</v>
      </c>
      <c r="H423" t="str">
        <f t="shared" si="73"/>
        <v>16,15 % || stabil</v>
      </c>
      <c r="I423" t="str">
        <f t="shared" si="74"/>
        <v xml:space="preserve"> | [http://atom.kaeri.re.kr/cgi-bin/nuclide?nuc=Os-189 &lt;sub&gt;189&lt;/sub&gt;Os] || 16,15 % || stabil || </v>
      </c>
      <c r="N423" t="str">
        <f t="shared" si="75"/>
        <v xml:space="preserve"> | [http://atom.kaeri.re.kr/cgi-bin/nuclide?nuc=Os-189 &lt;sub&gt;189&lt;/sub&gt;Os] || 16,15 % || stabil || &lt;br&gt; |-</v>
      </c>
    </row>
    <row r="424" spans="1:14" ht="15.95" customHeight="1">
      <c r="A424" s="17">
        <v>76</v>
      </c>
      <c r="B424" s="21" t="s">
        <v>364</v>
      </c>
      <c r="C424" s="17">
        <v>190</v>
      </c>
      <c r="D424" s="17">
        <v>26.26</v>
      </c>
      <c r="E424" t="s">
        <v>981</v>
      </c>
      <c r="G424" t="str">
        <f t="shared" si="72"/>
        <v>[http://atom.kaeri.re.kr/cgi-bin/nuclide?nuc=Os-190 &lt;sub&gt;190&lt;/sub&gt;Os]</v>
      </c>
      <c r="H424" t="str">
        <f t="shared" si="73"/>
        <v>26,26 % || stabil</v>
      </c>
      <c r="I424" t="str">
        <f t="shared" si="74"/>
        <v xml:space="preserve"> | [http://atom.kaeri.re.kr/cgi-bin/nuclide?nuc=Os-190 &lt;sub&gt;190&lt;/sub&gt;Os] || 26,26 % || stabil || </v>
      </c>
      <c r="N424" t="str">
        <f t="shared" si="75"/>
        <v xml:space="preserve"> | [http://atom.kaeri.re.kr/cgi-bin/nuclide?nuc=Os-190 &lt;sub&gt;190&lt;/sub&gt;Os] || 26,26 % || stabil || &lt;br&gt; |-</v>
      </c>
    </row>
    <row r="425" spans="1:14" ht="15.95" customHeight="1">
      <c r="A425" s="17">
        <v>76</v>
      </c>
      <c r="B425" s="21" t="s">
        <v>364</v>
      </c>
      <c r="C425" s="17">
        <v>192</v>
      </c>
      <c r="D425" s="17">
        <v>40.78</v>
      </c>
      <c r="E425" t="s">
        <v>981</v>
      </c>
      <c r="G425" t="str">
        <f t="shared" si="72"/>
        <v>[http://atom.kaeri.re.kr/cgi-bin/nuclide?nuc=Os-192 &lt;sub&gt;192&lt;/sub&gt;Os]</v>
      </c>
      <c r="H425" t="str">
        <f t="shared" si="73"/>
        <v>40,78 % || stabil</v>
      </c>
      <c r="I425" t="str">
        <f t="shared" si="74"/>
        <v xml:space="preserve"> | [http://atom.kaeri.re.kr/cgi-bin/nuclide?nuc=Os-192 &lt;sub&gt;192&lt;/sub&gt;Os] || 40,78 % || stabil || </v>
      </c>
      <c r="N425" t="str">
        <f t="shared" si="75"/>
        <v xml:space="preserve"> | [http://atom.kaeri.re.kr/cgi-bin/nuclide?nuc=Os-192 &lt;sub&gt;192&lt;/sub&gt;Os] || 40,78 % || stabil || &lt;br&gt; |-</v>
      </c>
    </row>
    <row r="426" spans="1:14" ht="15.95" customHeight="1">
      <c r="A426">
        <v>76</v>
      </c>
      <c r="B426" s="23" t="s">
        <v>364</v>
      </c>
      <c r="C426">
        <v>999</v>
      </c>
      <c r="D426" t="s">
        <v>365</v>
      </c>
      <c r="E426" t="s">
        <v>981</v>
      </c>
      <c r="N426" t="str">
        <f>CONCATENATE(" |}&lt;br&gt;* [http://atom.kaeri.re.kr/cgi-bin/nuclide?nuc=",B426," alle bekannten ",D426,"-Isotope]")</f>
        <v xml:space="preserve"> |}&lt;br&gt;* [http://atom.kaeri.re.kr/cgi-bin/nuclide?nuc=Os alle bekannten Osmium-Isotope]</v>
      </c>
    </row>
    <row r="427" spans="1:14" ht="15.95" customHeight="1">
      <c r="A427">
        <v>77</v>
      </c>
      <c r="B427" s="23" t="s">
        <v>367</v>
      </c>
      <c r="C427" s="17">
        <v>0</v>
      </c>
      <c r="D427" t="s">
        <v>368</v>
      </c>
      <c r="E427" t="s">
        <v>981</v>
      </c>
      <c r="N427" t="str">
        <f>CONCATENATE("=== [[",D427,"]] ===&lt;br&gt;{| {{tabelle}}&lt;br&gt;! Isotop !! ",$D$1," !! [[",$E$1,"]] !! ",$F$1," &lt;br&gt; |-")</f>
        <v>=== [[Iridium]] ===&lt;br&gt;{| {{tabelle}}&lt;br&gt;! Isotop !! natürliche Häufigkeit !! [[Halbwertszeit]] !! Herkunft, techn. Bedeutung &lt;br&gt; |-</v>
      </c>
    </row>
    <row r="428" spans="1:14" ht="15.95" customHeight="1">
      <c r="A428" s="17">
        <v>77</v>
      </c>
      <c r="B428" s="21" t="s">
        <v>367</v>
      </c>
      <c r="C428" s="17">
        <v>191</v>
      </c>
      <c r="D428" s="17">
        <v>37.299999999999997</v>
      </c>
      <c r="E428" t="s">
        <v>981</v>
      </c>
      <c r="G428" t="str">
        <f>CONCATENATE("[","http://atom.kaeri.re.kr/cgi-bin/nuclide?nuc=",B428,"-",C428," &lt;sub&gt;",C428,"&lt;/sub&gt;",B428,"]")</f>
        <v>[http://atom.kaeri.re.kr/cgi-bin/nuclide?nuc=Ir-191 &lt;sub&gt;191&lt;/sub&gt;Ir]</v>
      </c>
      <c r="H428" t="str">
        <f>CONCATENATE(D428," % || ",E428)</f>
        <v>37,3 % || stabil</v>
      </c>
      <c r="I428" t="str">
        <f>CONCATENATE(" | ",G428," || ",H428," || ",F428)</f>
        <v xml:space="preserve"> | [http://atom.kaeri.re.kr/cgi-bin/nuclide?nuc=Ir-191 &lt;sub&gt;191&lt;/sub&gt;Ir] || 37,3 % || stabil || </v>
      </c>
      <c r="N428" t="str">
        <f>CONCATENATE(I428,"&lt;br&gt;"," |-")</f>
        <v xml:space="preserve"> | [http://atom.kaeri.re.kr/cgi-bin/nuclide?nuc=Ir-191 &lt;sub&gt;191&lt;/sub&gt;Ir] || 37,3 % || stabil || &lt;br&gt; |-</v>
      </c>
    </row>
    <row r="429" spans="1:14" s="18" customFormat="1" ht="15.95" customHeight="1">
      <c r="A429" s="17">
        <v>77</v>
      </c>
      <c r="B429" s="22" t="s">
        <v>367</v>
      </c>
      <c r="C429" s="19">
        <v>192</v>
      </c>
      <c r="D429" s="18" t="s">
        <v>874</v>
      </c>
      <c r="E429" t="s">
        <v>977</v>
      </c>
      <c r="F429" t="s">
        <v>1000</v>
      </c>
      <c r="G429" t="str">
        <f>CONCATENATE("[","http://atom.kaeri.re.kr/cgi-bin/nuclide?nuc=",B429,"-",C429," &lt;sub&gt;",C429,"&lt;/sub&gt;",B429,"]")</f>
        <v>[http://atom.kaeri.re.kr/cgi-bin/nuclide?nuc=Ir-192 &lt;sub&gt;192&lt;/sub&gt;Ir]</v>
      </c>
      <c r="H429" t="str">
        <f>CONCATENATE(D429," % || ",E429)</f>
        <v>- % || 74 Tage</v>
      </c>
      <c r="I429" t="str">
        <f>CONCATENATE(" | ",G429," || ",H429," || ",F429)</f>
        <v xml:space="preserve"> | [http://atom.kaeri.re.kr/cgi-bin/nuclide?nuc=Ir-192 &lt;sub&gt;192&lt;/sub&gt;Ir] || - % || 74 Tage || [[radioaktiv]], Prüftechnik, Medizin</v>
      </c>
      <c r="J429"/>
      <c r="K429"/>
      <c r="L429"/>
      <c r="M429"/>
      <c r="N429" t="str">
        <f>CONCATENATE(I429,"&lt;br&gt;"," |-")</f>
        <v xml:space="preserve"> | [http://atom.kaeri.re.kr/cgi-bin/nuclide?nuc=Ir-192 &lt;sub&gt;192&lt;/sub&gt;Ir] || - % || 74 Tage || [[radioaktiv]], Prüftechnik, Medizin&lt;br&gt; |-</v>
      </c>
    </row>
    <row r="430" spans="1:14" ht="15.95" customHeight="1">
      <c r="A430" s="17">
        <v>77</v>
      </c>
      <c r="B430" s="21" t="s">
        <v>367</v>
      </c>
      <c r="C430" s="17">
        <v>193</v>
      </c>
      <c r="D430" s="17">
        <v>62.7</v>
      </c>
      <c r="E430" t="s">
        <v>981</v>
      </c>
      <c r="G430" t="str">
        <f>CONCATENATE("[","http://atom.kaeri.re.kr/cgi-bin/nuclide?nuc=",B430,"-",C430," &lt;sub&gt;",C430,"&lt;/sub&gt;",B430,"]")</f>
        <v>[http://atom.kaeri.re.kr/cgi-bin/nuclide?nuc=Ir-193 &lt;sub&gt;193&lt;/sub&gt;Ir]</v>
      </c>
      <c r="H430" t="str">
        <f>CONCATENATE(D430," % || ",E430)</f>
        <v>62,7 % || stabil</v>
      </c>
      <c r="I430" t="str">
        <f>CONCATENATE(" | ",G430," || ",H430," || ",F430)</f>
        <v xml:space="preserve"> | [http://atom.kaeri.re.kr/cgi-bin/nuclide?nuc=Ir-193 &lt;sub&gt;193&lt;/sub&gt;Ir] || 62,7 % || stabil || </v>
      </c>
      <c r="N430" t="str">
        <f>CONCATENATE(I430,"&lt;br&gt;"," |-")</f>
        <v xml:space="preserve"> | [http://atom.kaeri.re.kr/cgi-bin/nuclide?nuc=Ir-193 &lt;sub&gt;193&lt;/sub&gt;Ir] || 62,7 % || stabil || &lt;br&gt; |-</v>
      </c>
    </row>
    <row r="431" spans="1:14" ht="15.95" customHeight="1">
      <c r="A431">
        <v>77</v>
      </c>
      <c r="B431" s="23" t="s">
        <v>367</v>
      </c>
      <c r="C431">
        <v>999</v>
      </c>
      <c r="D431" t="s">
        <v>368</v>
      </c>
      <c r="E431" t="s">
        <v>981</v>
      </c>
      <c r="N431" t="str">
        <f>CONCATENATE(" |}&lt;br&gt;* [http://atom.kaeri.re.kr/cgi-bin/nuclide?nuc=",B431," alle bekannten ",D431,"-Isotope]")</f>
        <v xml:space="preserve"> |}&lt;br&gt;* [http://atom.kaeri.re.kr/cgi-bin/nuclide?nuc=Ir alle bekannten Iridium-Isotope]</v>
      </c>
    </row>
    <row r="432" spans="1:14" ht="15.95" customHeight="1">
      <c r="A432">
        <v>78</v>
      </c>
      <c r="B432" s="23" t="s">
        <v>370</v>
      </c>
      <c r="C432" s="17">
        <v>0</v>
      </c>
      <c r="D432" t="s">
        <v>371</v>
      </c>
      <c r="E432" t="s">
        <v>981</v>
      </c>
      <c r="N432" t="str">
        <f>CONCATENATE("=== [[",D432,"]] ===&lt;br&gt;{| {{tabelle}}&lt;br&gt;! Isotop !! ",$D$1," !! [[",$E$1,"]] !! ",$F$1," &lt;br&gt; |-")</f>
        <v>=== [[Platin]] ===&lt;br&gt;{| {{tabelle}}&lt;br&gt;! Isotop !! natürliche Häufigkeit !! [[Halbwertszeit]] !! Herkunft, techn. Bedeutung &lt;br&gt; |-</v>
      </c>
    </row>
    <row r="433" spans="1:14" ht="15.95" customHeight="1">
      <c r="A433" s="17">
        <v>78</v>
      </c>
      <c r="B433" s="21" t="s">
        <v>370</v>
      </c>
      <c r="C433" s="17">
        <v>190</v>
      </c>
      <c r="D433" s="17">
        <v>1.4E-2</v>
      </c>
      <c r="E433" t="s">
        <v>981</v>
      </c>
      <c r="G433" t="str">
        <f t="shared" ref="G433:G438" si="76">CONCATENATE("[","http://atom.kaeri.re.kr/cgi-bin/nuclide?nuc=",B433,"-",C433," &lt;sub&gt;",C433,"&lt;/sub&gt;",B433,"]")</f>
        <v>[http://atom.kaeri.re.kr/cgi-bin/nuclide?nuc=Pt-190 &lt;sub&gt;190&lt;/sub&gt;Pt]</v>
      </c>
      <c r="H433" t="str">
        <f t="shared" ref="H433:H438" si="77">CONCATENATE(D433," % || ",E433)</f>
        <v>0,014 % || stabil</v>
      </c>
      <c r="I433" t="str">
        <f t="shared" ref="I433:I438" si="78">CONCATENATE(" | ",G433," || ",H433," || ",F433)</f>
        <v xml:space="preserve"> | [http://atom.kaeri.re.kr/cgi-bin/nuclide?nuc=Pt-190 &lt;sub&gt;190&lt;/sub&gt;Pt] || 0,014 % || stabil || </v>
      </c>
      <c r="N433" t="str">
        <f t="shared" ref="N433:N438" si="79">CONCATENATE(I433,"&lt;br&gt;"," |-")</f>
        <v xml:space="preserve"> | [http://atom.kaeri.re.kr/cgi-bin/nuclide?nuc=Pt-190 &lt;sub&gt;190&lt;/sub&gt;Pt] || 0,014 % || stabil || &lt;br&gt; |-</v>
      </c>
    </row>
    <row r="434" spans="1:14" ht="15.95" customHeight="1">
      <c r="A434" s="17">
        <v>78</v>
      </c>
      <c r="B434" s="21" t="s">
        <v>370</v>
      </c>
      <c r="C434" s="17">
        <v>192</v>
      </c>
      <c r="D434" s="17">
        <v>0.78200000000000003</v>
      </c>
      <c r="E434" t="s">
        <v>981</v>
      </c>
      <c r="G434" t="str">
        <f t="shared" si="76"/>
        <v>[http://atom.kaeri.re.kr/cgi-bin/nuclide?nuc=Pt-192 &lt;sub&gt;192&lt;/sub&gt;Pt]</v>
      </c>
      <c r="H434" t="str">
        <f t="shared" si="77"/>
        <v>0,782 % || stabil</v>
      </c>
      <c r="I434" t="str">
        <f t="shared" si="78"/>
        <v xml:space="preserve"> | [http://atom.kaeri.re.kr/cgi-bin/nuclide?nuc=Pt-192 &lt;sub&gt;192&lt;/sub&gt;Pt] || 0,782 % || stabil || </v>
      </c>
      <c r="N434" t="str">
        <f t="shared" si="79"/>
        <v xml:space="preserve"> | [http://atom.kaeri.re.kr/cgi-bin/nuclide?nuc=Pt-192 &lt;sub&gt;192&lt;/sub&gt;Pt] || 0,782 % || stabil || &lt;br&gt; |-</v>
      </c>
    </row>
    <row r="435" spans="1:14" ht="15.95" customHeight="1">
      <c r="A435" s="17">
        <v>78</v>
      </c>
      <c r="B435" s="21" t="s">
        <v>370</v>
      </c>
      <c r="C435" s="17">
        <v>194</v>
      </c>
      <c r="D435" s="17">
        <v>32.966999999999999</v>
      </c>
      <c r="E435" t="s">
        <v>981</v>
      </c>
      <c r="G435" t="str">
        <f t="shared" si="76"/>
        <v>[http://atom.kaeri.re.kr/cgi-bin/nuclide?nuc=Pt-194 &lt;sub&gt;194&lt;/sub&gt;Pt]</v>
      </c>
      <c r="H435" t="str">
        <f t="shared" si="77"/>
        <v>32,967 % || stabil</v>
      </c>
      <c r="I435" t="str">
        <f t="shared" si="78"/>
        <v xml:space="preserve"> | [http://atom.kaeri.re.kr/cgi-bin/nuclide?nuc=Pt-194 &lt;sub&gt;194&lt;/sub&gt;Pt] || 32,967 % || stabil || </v>
      </c>
      <c r="N435" t="str">
        <f t="shared" si="79"/>
        <v xml:space="preserve"> | [http://atom.kaeri.re.kr/cgi-bin/nuclide?nuc=Pt-194 &lt;sub&gt;194&lt;/sub&gt;Pt] || 32,967 % || stabil || &lt;br&gt; |-</v>
      </c>
    </row>
    <row r="436" spans="1:14" ht="15.95" customHeight="1">
      <c r="A436" s="17">
        <v>78</v>
      </c>
      <c r="B436" s="21" t="s">
        <v>370</v>
      </c>
      <c r="C436" s="17">
        <v>195</v>
      </c>
      <c r="D436" s="17">
        <v>33.832000000000001</v>
      </c>
      <c r="E436" t="s">
        <v>981</v>
      </c>
      <c r="G436" t="str">
        <f t="shared" si="76"/>
        <v>[http://atom.kaeri.re.kr/cgi-bin/nuclide?nuc=Pt-195 &lt;sub&gt;195&lt;/sub&gt;Pt]</v>
      </c>
      <c r="H436" t="str">
        <f t="shared" si="77"/>
        <v>33,832 % || stabil</v>
      </c>
      <c r="I436" t="str">
        <f t="shared" si="78"/>
        <v xml:space="preserve"> | [http://atom.kaeri.re.kr/cgi-bin/nuclide?nuc=Pt-195 &lt;sub&gt;195&lt;/sub&gt;Pt] || 33,832 % || stabil || </v>
      </c>
      <c r="N436" t="str">
        <f t="shared" si="79"/>
        <v xml:space="preserve"> | [http://atom.kaeri.re.kr/cgi-bin/nuclide?nuc=Pt-195 &lt;sub&gt;195&lt;/sub&gt;Pt] || 33,832 % || stabil || &lt;br&gt; |-</v>
      </c>
    </row>
    <row r="437" spans="1:14" ht="15.95" customHeight="1">
      <c r="A437" s="17">
        <v>78</v>
      </c>
      <c r="B437" s="21" t="s">
        <v>370</v>
      </c>
      <c r="C437" s="17">
        <v>196</v>
      </c>
      <c r="D437" s="17">
        <v>25.242000000000001</v>
      </c>
      <c r="E437" t="s">
        <v>981</v>
      </c>
      <c r="G437" t="str">
        <f t="shared" si="76"/>
        <v>[http://atom.kaeri.re.kr/cgi-bin/nuclide?nuc=Pt-196 &lt;sub&gt;196&lt;/sub&gt;Pt]</v>
      </c>
      <c r="H437" t="str">
        <f t="shared" si="77"/>
        <v>25,242 % || stabil</v>
      </c>
      <c r="I437" t="str">
        <f t="shared" si="78"/>
        <v xml:space="preserve"> | [http://atom.kaeri.re.kr/cgi-bin/nuclide?nuc=Pt-196 &lt;sub&gt;196&lt;/sub&gt;Pt] || 25,242 % || stabil || </v>
      </c>
      <c r="N437" t="str">
        <f t="shared" si="79"/>
        <v xml:space="preserve"> | [http://atom.kaeri.re.kr/cgi-bin/nuclide?nuc=Pt-196 &lt;sub&gt;196&lt;/sub&gt;Pt] || 25,242 % || stabil || &lt;br&gt; |-</v>
      </c>
    </row>
    <row r="438" spans="1:14" ht="15.95" customHeight="1">
      <c r="A438" s="17">
        <v>78</v>
      </c>
      <c r="B438" s="21" t="s">
        <v>370</v>
      </c>
      <c r="C438" s="17">
        <v>198</v>
      </c>
      <c r="D438" s="17">
        <v>7.1630000000000003</v>
      </c>
      <c r="E438" t="s">
        <v>981</v>
      </c>
      <c r="G438" t="str">
        <f t="shared" si="76"/>
        <v>[http://atom.kaeri.re.kr/cgi-bin/nuclide?nuc=Pt-198 &lt;sub&gt;198&lt;/sub&gt;Pt]</v>
      </c>
      <c r="H438" t="str">
        <f t="shared" si="77"/>
        <v>7,163 % || stabil</v>
      </c>
      <c r="I438" t="str">
        <f t="shared" si="78"/>
        <v xml:space="preserve"> | [http://atom.kaeri.re.kr/cgi-bin/nuclide?nuc=Pt-198 &lt;sub&gt;198&lt;/sub&gt;Pt] || 7,163 % || stabil || </v>
      </c>
      <c r="N438" t="str">
        <f t="shared" si="79"/>
        <v xml:space="preserve"> | [http://atom.kaeri.re.kr/cgi-bin/nuclide?nuc=Pt-198 &lt;sub&gt;198&lt;/sub&gt;Pt] || 7,163 % || stabil || &lt;br&gt; |-</v>
      </c>
    </row>
    <row r="439" spans="1:14" ht="15.95" customHeight="1">
      <c r="A439">
        <v>78</v>
      </c>
      <c r="B439" s="23" t="s">
        <v>370</v>
      </c>
      <c r="C439">
        <v>999</v>
      </c>
      <c r="D439" t="s">
        <v>371</v>
      </c>
      <c r="E439" t="s">
        <v>981</v>
      </c>
      <c r="N439" t="str">
        <f>CONCATENATE(" |}&lt;br&gt;* [http://atom.kaeri.re.kr/cgi-bin/nuclide?nuc=",B439," alle bekannten ",D439,"-Isotope]")</f>
        <v xml:space="preserve"> |}&lt;br&gt;* [http://atom.kaeri.re.kr/cgi-bin/nuclide?nuc=Pt alle bekannten Platin-Isotope]</v>
      </c>
    </row>
    <row r="440" spans="1:14" ht="15.95" customHeight="1">
      <c r="A440">
        <v>79</v>
      </c>
      <c r="B440" s="23" t="s">
        <v>373</v>
      </c>
      <c r="C440" s="17">
        <v>0</v>
      </c>
      <c r="D440" t="s">
        <v>374</v>
      </c>
      <c r="E440" t="s">
        <v>981</v>
      </c>
      <c r="N440" t="str">
        <f>CONCATENATE("=== [[",D440,"]] ===&lt;br&gt;{| {{tabelle}}&lt;br&gt;! Isotop !! ",$D$1," !! [[",$E$1,"]] !! ",$F$1," &lt;br&gt; |-")</f>
        <v>=== [[Gold]] ===&lt;br&gt;{| {{tabelle}}&lt;br&gt;! Isotop !! natürliche Häufigkeit !! [[Halbwertszeit]] !! Herkunft, techn. Bedeutung &lt;br&gt; |-</v>
      </c>
    </row>
    <row r="441" spans="1:14" ht="15.95" customHeight="1">
      <c r="A441" s="17">
        <v>79</v>
      </c>
      <c r="B441" s="21" t="s">
        <v>373</v>
      </c>
      <c r="C441" s="17">
        <v>197</v>
      </c>
      <c r="D441" s="17">
        <v>100</v>
      </c>
      <c r="E441" t="s">
        <v>981</v>
      </c>
      <c r="G441" t="str">
        <f>CONCATENATE("[","http://atom.kaeri.re.kr/cgi-bin/nuclide?nuc=",B441,"-",C441," &lt;sub&gt;",C441,"&lt;/sub&gt;",B441,"]")</f>
        <v>[http://atom.kaeri.re.kr/cgi-bin/nuclide?nuc=Au-197 &lt;sub&gt;197&lt;/sub&gt;Au]</v>
      </c>
      <c r="H441" t="str">
        <f>CONCATENATE(D441," % || ",E441)</f>
        <v>100 % || stabil</v>
      </c>
      <c r="I441" t="str">
        <f>CONCATENATE(" | ",G441," || ",H441," || ",F441)</f>
        <v xml:space="preserve"> | [http://atom.kaeri.re.kr/cgi-bin/nuclide?nuc=Au-197 &lt;sub&gt;197&lt;/sub&gt;Au] || 100 % || stabil || </v>
      </c>
      <c r="N441" t="str">
        <f>CONCATENATE(I441,"&lt;br&gt;"," |-")</f>
        <v xml:space="preserve"> | [http://atom.kaeri.re.kr/cgi-bin/nuclide?nuc=Au-197 &lt;sub&gt;197&lt;/sub&gt;Au] || 100 % || stabil || &lt;br&gt; |-</v>
      </c>
    </row>
    <row r="442" spans="1:14" ht="15.95" customHeight="1">
      <c r="A442">
        <v>79</v>
      </c>
      <c r="B442" s="23" t="s">
        <v>373</v>
      </c>
      <c r="C442">
        <v>999</v>
      </c>
      <c r="D442" t="s">
        <v>374</v>
      </c>
      <c r="E442" t="s">
        <v>981</v>
      </c>
      <c r="N442" t="str">
        <f>CONCATENATE(" |}&lt;br&gt;* [http://atom.kaeri.re.kr/cgi-bin/nuclide?nuc=",B442," alle bekannten ",D442,"-Isotope]")</f>
        <v xml:space="preserve"> |}&lt;br&gt;* [http://atom.kaeri.re.kr/cgi-bin/nuclide?nuc=Au alle bekannten Gold-Isotope]</v>
      </c>
    </row>
    <row r="443" spans="1:14" ht="15.95" customHeight="1">
      <c r="A443">
        <v>80</v>
      </c>
      <c r="B443" s="23" t="s">
        <v>376</v>
      </c>
      <c r="C443" s="17">
        <v>0</v>
      </c>
      <c r="D443" t="s">
        <v>377</v>
      </c>
      <c r="E443" t="s">
        <v>981</v>
      </c>
      <c r="N443" t="str">
        <f>CONCATENATE("=== [[",D443,"]] ===&lt;br&gt;{| {{tabelle}}&lt;br&gt;! Isotop !! ",$D$1," !! [[",$E$1,"]] !! ",$F$1," &lt;br&gt; |-")</f>
        <v>=== [[Quecksilber]] ===&lt;br&gt;{| {{tabelle}}&lt;br&gt;! Isotop !! natürliche Häufigkeit !! [[Halbwertszeit]] !! Herkunft, techn. Bedeutung &lt;br&gt; |-</v>
      </c>
    </row>
    <row r="444" spans="1:14" ht="15.95" customHeight="1">
      <c r="A444" s="17">
        <v>80</v>
      </c>
      <c r="B444" s="21" t="s">
        <v>376</v>
      </c>
      <c r="C444" s="17">
        <v>196</v>
      </c>
      <c r="D444" s="17">
        <v>0.15</v>
      </c>
      <c r="E444" t="s">
        <v>981</v>
      </c>
      <c r="G444" t="str">
        <f t="shared" ref="G444:G450" si="80">CONCATENATE("[","http://atom.kaeri.re.kr/cgi-bin/nuclide?nuc=",B444,"-",C444," &lt;sub&gt;",C444,"&lt;/sub&gt;",B444,"]")</f>
        <v>[http://atom.kaeri.re.kr/cgi-bin/nuclide?nuc=Hg-196 &lt;sub&gt;196&lt;/sub&gt;Hg]</v>
      </c>
      <c r="H444" t="str">
        <f t="shared" ref="H444:H450" si="81">CONCATENATE(D444," % || ",E444)</f>
        <v>0,15 % || stabil</v>
      </c>
      <c r="I444" t="str">
        <f t="shared" ref="I444:I450" si="82">CONCATENATE(" | ",G444," || ",H444," || ",F444)</f>
        <v xml:space="preserve"> | [http://atom.kaeri.re.kr/cgi-bin/nuclide?nuc=Hg-196 &lt;sub&gt;196&lt;/sub&gt;Hg] || 0,15 % || stabil || </v>
      </c>
      <c r="N444" t="str">
        <f t="shared" ref="N444:N450" si="83">CONCATENATE(I444,"&lt;br&gt;"," |-")</f>
        <v xml:space="preserve"> | [http://atom.kaeri.re.kr/cgi-bin/nuclide?nuc=Hg-196 &lt;sub&gt;196&lt;/sub&gt;Hg] || 0,15 % || stabil || &lt;br&gt; |-</v>
      </c>
    </row>
    <row r="445" spans="1:14" ht="15.95" customHeight="1">
      <c r="A445" s="17">
        <v>80</v>
      </c>
      <c r="B445" s="21" t="s">
        <v>376</v>
      </c>
      <c r="C445" s="17">
        <v>198</v>
      </c>
      <c r="D445" s="17">
        <v>9.9700000000000006</v>
      </c>
      <c r="E445" t="s">
        <v>981</v>
      </c>
      <c r="G445" t="str">
        <f t="shared" si="80"/>
        <v>[http://atom.kaeri.re.kr/cgi-bin/nuclide?nuc=Hg-198 &lt;sub&gt;198&lt;/sub&gt;Hg]</v>
      </c>
      <c r="H445" t="str">
        <f t="shared" si="81"/>
        <v>9,97 % || stabil</v>
      </c>
      <c r="I445" t="str">
        <f t="shared" si="82"/>
        <v xml:space="preserve"> | [http://atom.kaeri.re.kr/cgi-bin/nuclide?nuc=Hg-198 &lt;sub&gt;198&lt;/sub&gt;Hg] || 9,97 % || stabil || </v>
      </c>
      <c r="N445" t="str">
        <f t="shared" si="83"/>
        <v xml:space="preserve"> | [http://atom.kaeri.re.kr/cgi-bin/nuclide?nuc=Hg-198 &lt;sub&gt;198&lt;/sub&gt;Hg] || 9,97 % || stabil || &lt;br&gt; |-</v>
      </c>
    </row>
    <row r="446" spans="1:14" ht="15.95" customHeight="1">
      <c r="A446" s="17">
        <v>80</v>
      </c>
      <c r="B446" s="21" t="s">
        <v>376</v>
      </c>
      <c r="C446" s="17">
        <v>199</v>
      </c>
      <c r="D446" s="17">
        <v>16.87</v>
      </c>
      <c r="E446" t="s">
        <v>981</v>
      </c>
      <c r="G446" t="str">
        <f t="shared" si="80"/>
        <v>[http://atom.kaeri.re.kr/cgi-bin/nuclide?nuc=Hg-199 &lt;sub&gt;199&lt;/sub&gt;Hg]</v>
      </c>
      <c r="H446" t="str">
        <f t="shared" si="81"/>
        <v>16,87 % || stabil</v>
      </c>
      <c r="I446" t="str">
        <f t="shared" si="82"/>
        <v xml:space="preserve"> | [http://atom.kaeri.re.kr/cgi-bin/nuclide?nuc=Hg-199 &lt;sub&gt;199&lt;/sub&gt;Hg] || 16,87 % || stabil || </v>
      </c>
      <c r="N446" t="str">
        <f t="shared" si="83"/>
        <v xml:space="preserve"> | [http://atom.kaeri.re.kr/cgi-bin/nuclide?nuc=Hg-199 &lt;sub&gt;199&lt;/sub&gt;Hg] || 16,87 % || stabil || &lt;br&gt; |-</v>
      </c>
    </row>
    <row r="447" spans="1:14" ht="15.95" customHeight="1">
      <c r="A447" s="17">
        <v>80</v>
      </c>
      <c r="B447" s="21" t="s">
        <v>376</v>
      </c>
      <c r="C447" s="17">
        <v>200</v>
      </c>
      <c r="D447" s="17">
        <v>23.1</v>
      </c>
      <c r="E447" t="s">
        <v>981</v>
      </c>
      <c r="G447" t="str">
        <f t="shared" si="80"/>
        <v>[http://atom.kaeri.re.kr/cgi-bin/nuclide?nuc=Hg-200 &lt;sub&gt;200&lt;/sub&gt;Hg]</v>
      </c>
      <c r="H447" t="str">
        <f t="shared" si="81"/>
        <v>23,1 % || stabil</v>
      </c>
      <c r="I447" t="str">
        <f t="shared" si="82"/>
        <v xml:space="preserve"> | [http://atom.kaeri.re.kr/cgi-bin/nuclide?nuc=Hg-200 &lt;sub&gt;200&lt;/sub&gt;Hg] || 23,1 % || stabil || </v>
      </c>
      <c r="N447" t="str">
        <f t="shared" si="83"/>
        <v xml:space="preserve"> | [http://atom.kaeri.re.kr/cgi-bin/nuclide?nuc=Hg-200 &lt;sub&gt;200&lt;/sub&gt;Hg] || 23,1 % || stabil || &lt;br&gt; |-</v>
      </c>
    </row>
    <row r="448" spans="1:14" ht="15.95" customHeight="1">
      <c r="A448" s="17">
        <v>80</v>
      </c>
      <c r="B448" s="21" t="s">
        <v>376</v>
      </c>
      <c r="C448" s="17">
        <v>201</v>
      </c>
      <c r="D448" s="17">
        <v>13.18</v>
      </c>
      <c r="E448" t="s">
        <v>981</v>
      </c>
      <c r="G448" t="str">
        <f t="shared" si="80"/>
        <v>[http://atom.kaeri.re.kr/cgi-bin/nuclide?nuc=Hg-201 &lt;sub&gt;201&lt;/sub&gt;Hg]</v>
      </c>
      <c r="H448" t="str">
        <f t="shared" si="81"/>
        <v>13,18 % || stabil</v>
      </c>
      <c r="I448" t="str">
        <f t="shared" si="82"/>
        <v xml:space="preserve"> | [http://atom.kaeri.re.kr/cgi-bin/nuclide?nuc=Hg-201 &lt;sub&gt;201&lt;/sub&gt;Hg] || 13,18 % || stabil || </v>
      </c>
      <c r="N448" t="str">
        <f t="shared" si="83"/>
        <v xml:space="preserve"> | [http://atom.kaeri.re.kr/cgi-bin/nuclide?nuc=Hg-201 &lt;sub&gt;201&lt;/sub&gt;Hg] || 13,18 % || stabil || &lt;br&gt; |-</v>
      </c>
    </row>
    <row r="449" spans="1:14" ht="15.95" customHeight="1">
      <c r="A449" s="17">
        <v>80</v>
      </c>
      <c r="B449" s="21" t="s">
        <v>376</v>
      </c>
      <c r="C449" s="17">
        <v>202</v>
      </c>
      <c r="D449" s="17">
        <v>29.86</v>
      </c>
      <c r="E449" t="s">
        <v>981</v>
      </c>
      <c r="G449" t="str">
        <f t="shared" si="80"/>
        <v>[http://atom.kaeri.re.kr/cgi-bin/nuclide?nuc=Hg-202 &lt;sub&gt;202&lt;/sub&gt;Hg]</v>
      </c>
      <c r="H449" t="str">
        <f t="shared" si="81"/>
        <v>29,86 % || stabil</v>
      </c>
      <c r="I449" t="str">
        <f t="shared" si="82"/>
        <v xml:space="preserve"> | [http://atom.kaeri.re.kr/cgi-bin/nuclide?nuc=Hg-202 &lt;sub&gt;202&lt;/sub&gt;Hg] || 29,86 % || stabil || </v>
      </c>
      <c r="N449" t="str">
        <f t="shared" si="83"/>
        <v xml:space="preserve"> | [http://atom.kaeri.re.kr/cgi-bin/nuclide?nuc=Hg-202 &lt;sub&gt;202&lt;/sub&gt;Hg] || 29,86 % || stabil || &lt;br&gt; |-</v>
      </c>
    </row>
    <row r="450" spans="1:14" ht="15.95" customHeight="1">
      <c r="A450" s="17">
        <v>80</v>
      </c>
      <c r="B450" s="21" t="s">
        <v>376</v>
      </c>
      <c r="C450" s="17">
        <v>204</v>
      </c>
      <c r="D450" s="17">
        <v>6.87</v>
      </c>
      <c r="E450" t="s">
        <v>981</v>
      </c>
      <c r="G450" t="str">
        <f t="shared" si="80"/>
        <v>[http://atom.kaeri.re.kr/cgi-bin/nuclide?nuc=Hg-204 &lt;sub&gt;204&lt;/sub&gt;Hg]</v>
      </c>
      <c r="H450" t="str">
        <f t="shared" si="81"/>
        <v>6,87 % || stabil</v>
      </c>
      <c r="I450" t="str">
        <f t="shared" si="82"/>
        <v xml:space="preserve"> | [http://atom.kaeri.re.kr/cgi-bin/nuclide?nuc=Hg-204 &lt;sub&gt;204&lt;/sub&gt;Hg] || 6,87 % || stabil || </v>
      </c>
      <c r="N450" t="str">
        <f t="shared" si="83"/>
        <v xml:space="preserve"> | [http://atom.kaeri.re.kr/cgi-bin/nuclide?nuc=Hg-204 &lt;sub&gt;204&lt;/sub&gt;Hg] || 6,87 % || stabil || &lt;br&gt; |-</v>
      </c>
    </row>
    <row r="451" spans="1:14" ht="15.95" customHeight="1">
      <c r="A451">
        <v>80</v>
      </c>
      <c r="B451" s="23" t="s">
        <v>376</v>
      </c>
      <c r="C451">
        <v>999</v>
      </c>
      <c r="D451" t="s">
        <v>377</v>
      </c>
      <c r="E451" t="s">
        <v>981</v>
      </c>
      <c r="N451" t="str">
        <f>CONCATENATE(" |}&lt;br&gt;* [http://atom.kaeri.re.kr/cgi-bin/nuclide?nuc=",B451," alle bekannten ",D451,"-Isotope]")</f>
        <v xml:space="preserve"> |}&lt;br&gt;* [http://atom.kaeri.re.kr/cgi-bin/nuclide?nuc=Hg alle bekannten Quecksilber-Isotope]</v>
      </c>
    </row>
    <row r="452" spans="1:14" ht="15.95" customHeight="1">
      <c r="A452">
        <v>81</v>
      </c>
      <c r="B452" s="23" t="s">
        <v>379</v>
      </c>
      <c r="C452" s="17">
        <v>0</v>
      </c>
      <c r="D452" t="s">
        <v>380</v>
      </c>
      <c r="E452" t="s">
        <v>981</v>
      </c>
      <c r="N452" t="str">
        <f>CONCATENATE("=== [[",D452,"]] ===&lt;br&gt;{| {{tabelle}}&lt;br&gt;! Isotop !! ",$D$1," !! [[",$E$1,"]] !! ",$F$1," &lt;br&gt; |-")</f>
        <v>=== [[Thallium]] ===&lt;br&gt;{| {{tabelle}}&lt;br&gt;! Isotop !! natürliche Häufigkeit !! [[Halbwertszeit]] !! Herkunft, techn. Bedeutung &lt;br&gt; |-</v>
      </c>
    </row>
    <row r="453" spans="1:14" ht="15.95" customHeight="1">
      <c r="A453" s="17">
        <v>81</v>
      </c>
      <c r="B453" s="21" t="s">
        <v>379</v>
      </c>
      <c r="C453" s="17">
        <v>203</v>
      </c>
      <c r="D453" s="17">
        <v>29.524000000000001</v>
      </c>
      <c r="E453" t="s">
        <v>981</v>
      </c>
      <c r="G453" t="str">
        <f>CONCATENATE("[","http://atom.kaeri.re.kr/cgi-bin/nuclide?nuc=",B453,"-",C453," &lt;sub&gt;",C453,"&lt;/sub&gt;",B453,"]")</f>
        <v>[http://atom.kaeri.re.kr/cgi-bin/nuclide?nuc=Tl-203 &lt;sub&gt;203&lt;/sub&gt;Tl]</v>
      </c>
      <c r="H453" t="str">
        <f>CONCATENATE(D453," % || ",E453)</f>
        <v>29,524 % || stabil</v>
      </c>
      <c r="I453" t="str">
        <f>CONCATENATE(" | ",G453," || ",H453," || ",F453)</f>
        <v xml:space="preserve"> | [http://atom.kaeri.re.kr/cgi-bin/nuclide?nuc=Tl-203 &lt;sub&gt;203&lt;/sub&gt;Tl] || 29,524 % || stabil || </v>
      </c>
      <c r="N453" t="str">
        <f>CONCATENATE(I453,"&lt;br&gt;"," |-")</f>
        <v xml:space="preserve"> | [http://atom.kaeri.re.kr/cgi-bin/nuclide?nuc=Tl-203 &lt;sub&gt;203&lt;/sub&gt;Tl] || 29,524 % || stabil || &lt;br&gt; |-</v>
      </c>
    </row>
    <row r="454" spans="1:14" ht="15.95" customHeight="1">
      <c r="A454" s="17">
        <v>81</v>
      </c>
      <c r="B454" s="21" t="s">
        <v>379</v>
      </c>
      <c r="C454" s="17">
        <v>205</v>
      </c>
      <c r="D454" s="17">
        <v>70.475999999999999</v>
      </c>
      <c r="E454" t="s">
        <v>981</v>
      </c>
      <c r="G454" t="str">
        <f>CONCATENATE("[","http://atom.kaeri.re.kr/cgi-bin/nuclide?nuc=",B454,"-",C454," &lt;sub&gt;",C454,"&lt;/sub&gt;",B454,"]")</f>
        <v>[http://atom.kaeri.re.kr/cgi-bin/nuclide?nuc=Tl-205 &lt;sub&gt;205&lt;/sub&gt;Tl]</v>
      </c>
      <c r="H454" t="str">
        <f>CONCATENATE(D454," % || ",E454)</f>
        <v>70,476 % || stabil</v>
      </c>
      <c r="I454" t="str">
        <f>CONCATENATE(" | ",G454," || ",H454," || ",F454)</f>
        <v xml:space="preserve"> | [http://atom.kaeri.re.kr/cgi-bin/nuclide?nuc=Tl-205 &lt;sub&gt;205&lt;/sub&gt;Tl] || 70,476 % || stabil || </v>
      </c>
      <c r="N454" t="str">
        <f>CONCATENATE(I454,"&lt;br&gt;"," |-")</f>
        <v xml:space="preserve"> | [http://atom.kaeri.re.kr/cgi-bin/nuclide?nuc=Tl-205 &lt;sub&gt;205&lt;/sub&gt;Tl] || 70,476 % || stabil || &lt;br&gt; |-</v>
      </c>
    </row>
    <row r="455" spans="1:14" ht="15.95" customHeight="1">
      <c r="A455">
        <v>81</v>
      </c>
      <c r="B455" s="23" t="s">
        <v>379</v>
      </c>
      <c r="C455">
        <v>999</v>
      </c>
      <c r="D455" t="s">
        <v>380</v>
      </c>
      <c r="E455" t="s">
        <v>981</v>
      </c>
      <c r="N455" t="str">
        <f>CONCATENATE(" |}&lt;br&gt;* [http://atom.kaeri.re.kr/cgi-bin/nuclide?nuc=",B455," alle bekannten ",D455,"-Isotope]")</f>
        <v xml:space="preserve"> |}&lt;br&gt;* [http://atom.kaeri.re.kr/cgi-bin/nuclide?nuc=Tl alle bekannten Thallium-Isotope]</v>
      </c>
    </row>
    <row r="456" spans="1:14" ht="15.95" customHeight="1">
      <c r="A456">
        <v>82</v>
      </c>
      <c r="B456" s="23" t="s">
        <v>383</v>
      </c>
      <c r="C456" s="17">
        <v>0</v>
      </c>
      <c r="D456" t="s">
        <v>384</v>
      </c>
      <c r="E456" t="s">
        <v>981</v>
      </c>
      <c r="N456" t="str">
        <f>CONCATENATE("=== [[",D456,"]] ===&lt;br&gt;{| {{tabelle}}&lt;br&gt;! Isotop !! ",$D$1," !! [[",$E$1,"]] !! ",$F$1," &lt;br&gt; |-")</f>
        <v>=== [[Blei]] ===&lt;br&gt;{| {{tabelle}}&lt;br&gt;! Isotop !! natürliche Häufigkeit !! [[Halbwertszeit]] !! Herkunft, techn. Bedeutung &lt;br&gt; |-</v>
      </c>
    </row>
    <row r="457" spans="1:14" ht="15.95" customHeight="1">
      <c r="A457" s="17">
        <v>82</v>
      </c>
      <c r="B457" s="21" t="s">
        <v>383</v>
      </c>
      <c r="C457" s="17">
        <v>204</v>
      </c>
      <c r="D457" s="17">
        <v>1.4</v>
      </c>
      <c r="E457" t="s">
        <v>981</v>
      </c>
      <c r="G457" t="str">
        <f t="shared" ref="G457:G463" si="84">CONCATENATE("[","http://atom.kaeri.re.kr/cgi-bin/nuclide?nuc=",B457,"-",C457," &lt;sub&gt;",C457,"&lt;/sub&gt;",B457,"]")</f>
        <v>[http://atom.kaeri.re.kr/cgi-bin/nuclide?nuc=Pb-204 &lt;sub&gt;204&lt;/sub&gt;Pb]</v>
      </c>
      <c r="H457" t="str">
        <f t="shared" ref="H457:H463" si="85">CONCATENATE(D457," % || ",E457)</f>
        <v>1,4 % || stabil</v>
      </c>
      <c r="I457" t="str">
        <f t="shared" ref="I457:I463" si="86">CONCATENATE(" | ",G457," || ",H457," || ",F457)</f>
        <v xml:space="preserve"> | [http://atom.kaeri.re.kr/cgi-bin/nuclide?nuc=Pb-204 &lt;sub&gt;204&lt;/sub&gt;Pb] || 1,4 % || stabil || </v>
      </c>
      <c r="N457" t="str">
        <f t="shared" ref="N457:N463" si="87">CONCATENATE(I457,"&lt;br&gt;"," |-")</f>
        <v xml:space="preserve"> | [http://atom.kaeri.re.kr/cgi-bin/nuclide?nuc=Pb-204 &lt;sub&gt;204&lt;/sub&gt;Pb] || 1,4 % || stabil || &lt;br&gt; |-</v>
      </c>
    </row>
    <row r="458" spans="1:14" ht="15.95" customHeight="1">
      <c r="A458" s="17">
        <v>82</v>
      </c>
      <c r="B458" s="21" t="s">
        <v>383</v>
      </c>
      <c r="C458" s="17">
        <v>206</v>
      </c>
      <c r="D458" s="17">
        <v>24.1</v>
      </c>
      <c r="E458" t="s">
        <v>981</v>
      </c>
      <c r="G458" t="str">
        <f t="shared" si="84"/>
        <v>[http://atom.kaeri.re.kr/cgi-bin/nuclide?nuc=Pb-206 &lt;sub&gt;206&lt;/sub&gt;Pb]</v>
      </c>
      <c r="H458" t="str">
        <f t="shared" si="85"/>
        <v>24,1 % || stabil</v>
      </c>
      <c r="I458" t="str">
        <f t="shared" si="86"/>
        <v xml:space="preserve"> | [http://atom.kaeri.re.kr/cgi-bin/nuclide?nuc=Pb-206 &lt;sub&gt;206&lt;/sub&gt;Pb] || 24,1 % || stabil || </v>
      </c>
      <c r="N458" t="str">
        <f t="shared" si="87"/>
        <v xml:space="preserve"> | [http://atom.kaeri.re.kr/cgi-bin/nuclide?nuc=Pb-206 &lt;sub&gt;206&lt;/sub&gt;Pb] || 24,1 % || stabil || &lt;br&gt; |-</v>
      </c>
    </row>
    <row r="459" spans="1:14" ht="15.95" customHeight="1">
      <c r="A459" s="17">
        <v>82</v>
      </c>
      <c r="B459" s="21" t="s">
        <v>383</v>
      </c>
      <c r="C459" s="17">
        <v>207</v>
      </c>
      <c r="D459" s="17">
        <v>22.1</v>
      </c>
      <c r="E459" t="s">
        <v>981</v>
      </c>
      <c r="G459" t="str">
        <f t="shared" si="84"/>
        <v>[http://atom.kaeri.re.kr/cgi-bin/nuclide?nuc=Pb-207 &lt;sub&gt;207&lt;/sub&gt;Pb]</v>
      </c>
      <c r="H459" t="str">
        <f t="shared" si="85"/>
        <v>22,1 % || stabil</v>
      </c>
      <c r="I459" t="str">
        <f t="shared" si="86"/>
        <v xml:space="preserve"> | [http://atom.kaeri.re.kr/cgi-bin/nuclide?nuc=Pb-207 &lt;sub&gt;207&lt;/sub&gt;Pb] || 22,1 % || stabil || </v>
      </c>
      <c r="N459" t="str">
        <f t="shared" si="87"/>
        <v xml:space="preserve"> | [http://atom.kaeri.re.kr/cgi-bin/nuclide?nuc=Pb-207 &lt;sub&gt;207&lt;/sub&gt;Pb] || 22,1 % || stabil || &lt;br&gt; |-</v>
      </c>
    </row>
    <row r="460" spans="1:14" ht="15.95" customHeight="1">
      <c r="A460" s="17">
        <v>82</v>
      </c>
      <c r="B460" s="21" t="s">
        <v>383</v>
      </c>
      <c r="C460" s="17">
        <v>208</v>
      </c>
      <c r="D460" s="17">
        <v>52.4</v>
      </c>
      <c r="E460" t="s">
        <v>981</v>
      </c>
      <c r="G460" t="str">
        <f t="shared" si="84"/>
        <v>[http://atom.kaeri.re.kr/cgi-bin/nuclide?nuc=Pb-208 &lt;sub&gt;208&lt;/sub&gt;Pb]</v>
      </c>
      <c r="H460" t="str">
        <f t="shared" si="85"/>
        <v>52,4 % || stabil</v>
      </c>
      <c r="I460" t="str">
        <f t="shared" si="86"/>
        <v xml:space="preserve"> | [http://atom.kaeri.re.kr/cgi-bin/nuclide?nuc=Pb-208 &lt;sub&gt;208&lt;/sub&gt;Pb] || 52,4 % || stabil || </v>
      </c>
      <c r="N460" t="str">
        <f t="shared" si="87"/>
        <v xml:space="preserve"> | [http://atom.kaeri.re.kr/cgi-bin/nuclide?nuc=Pb-208 &lt;sub&gt;208&lt;/sub&gt;Pb] || 52,4 % || stabil || &lt;br&gt; |-</v>
      </c>
    </row>
    <row r="461" spans="1:14" s="18" customFormat="1" ht="15.95" customHeight="1">
      <c r="A461" s="17">
        <v>82</v>
      </c>
      <c r="B461" s="22" t="s">
        <v>383</v>
      </c>
      <c r="C461" s="19">
        <v>210</v>
      </c>
      <c r="D461" s="18" t="s">
        <v>874</v>
      </c>
      <c r="E461" t="s">
        <v>940</v>
      </c>
      <c r="F461" t="s">
        <v>993</v>
      </c>
      <c r="G461" t="str">
        <f t="shared" si="84"/>
        <v>[http://atom.kaeri.re.kr/cgi-bin/nuclide?nuc=Pb-210 &lt;sub&gt;210&lt;/sub&gt;Pb]</v>
      </c>
      <c r="H461" t="str">
        <f t="shared" si="85"/>
        <v>- % || 22,3 Jahre</v>
      </c>
      <c r="I461" t="str">
        <f t="shared" si="86"/>
        <v xml:space="preserve"> | [http://atom.kaeri.re.kr/cgi-bin/nuclide?nuc=Pb-210 &lt;sub&gt;210&lt;/sub&gt;Pb] || - % || 22,3 Jahre || [[radioaktiv]], Uran-Reihe, Erdboden</v>
      </c>
      <c r="J461"/>
      <c r="K461"/>
      <c r="L461"/>
      <c r="M461"/>
      <c r="N461" t="str">
        <f t="shared" si="87"/>
        <v xml:space="preserve"> | [http://atom.kaeri.re.kr/cgi-bin/nuclide?nuc=Pb-210 &lt;sub&gt;210&lt;/sub&gt;Pb] || - % || 22,3 Jahre || [[radioaktiv]], Uran-Reihe, Erdboden&lt;br&gt; |-</v>
      </c>
    </row>
    <row r="462" spans="1:14" s="18" customFormat="1" ht="15.95" customHeight="1">
      <c r="A462" s="17">
        <v>82</v>
      </c>
      <c r="B462" s="22" t="s">
        <v>383</v>
      </c>
      <c r="C462" s="19">
        <v>212</v>
      </c>
      <c r="D462" s="18" t="s">
        <v>874</v>
      </c>
      <c r="E462" t="s">
        <v>941</v>
      </c>
      <c r="F462" t="s">
        <v>992</v>
      </c>
      <c r="G462" t="str">
        <f t="shared" si="84"/>
        <v>[http://atom.kaeri.re.kr/cgi-bin/nuclide?nuc=Pb-212 &lt;sub&gt;212&lt;/sub&gt;Pb]</v>
      </c>
      <c r="H462" t="str">
        <f t="shared" si="85"/>
        <v>- % || 10,6 Stunden</v>
      </c>
      <c r="I462" t="str">
        <f t="shared" si="86"/>
        <v xml:space="preserve"> | [http://atom.kaeri.re.kr/cgi-bin/nuclide?nuc=Pb-212 &lt;sub&gt;212&lt;/sub&gt;Pb] || - % || 10,6 Stunden || [[radioaktiv]], Thorium-Reihe, Erdboden, Luft</v>
      </c>
      <c r="J462"/>
      <c r="K462"/>
      <c r="L462"/>
      <c r="M462"/>
      <c r="N462" t="str">
        <f t="shared" si="87"/>
        <v xml:space="preserve"> | [http://atom.kaeri.re.kr/cgi-bin/nuclide?nuc=Pb-212 &lt;sub&gt;212&lt;/sub&gt;Pb] || - % || 10,6 Stunden || [[radioaktiv]], Thorium-Reihe, Erdboden, Luft&lt;br&gt; |-</v>
      </c>
    </row>
    <row r="463" spans="1:14" s="18" customFormat="1" ht="15.95" customHeight="1">
      <c r="A463" s="17">
        <v>82</v>
      </c>
      <c r="B463" s="22" t="s">
        <v>383</v>
      </c>
      <c r="C463" s="19">
        <v>214</v>
      </c>
      <c r="D463" s="18" t="s">
        <v>874</v>
      </c>
      <c r="E463" t="s">
        <v>942</v>
      </c>
      <c r="F463" t="s">
        <v>991</v>
      </c>
      <c r="G463" t="str">
        <f t="shared" si="84"/>
        <v>[http://atom.kaeri.re.kr/cgi-bin/nuclide?nuc=Pb-214 &lt;sub&gt;214&lt;/sub&gt;Pb]</v>
      </c>
      <c r="H463" t="str">
        <f t="shared" si="85"/>
        <v>- % || 26,8 Minuten</v>
      </c>
      <c r="I463" t="str">
        <f t="shared" si="86"/>
        <v xml:space="preserve"> | [http://atom.kaeri.re.kr/cgi-bin/nuclide?nuc=Pb-214 &lt;sub&gt;214&lt;/sub&gt;Pb] || - % || 26,8 Minuten || [[radioaktiv]], Uran-Reihe, Erdboden, Luft</v>
      </c>
      <c r="J463"/>
      <c r="K463"/>
      <c r="L463"/>
      <c r="M463"/>
      <c r="N463" t="str">
        <f t="shared" si="87"/>
        <v xml:space="preserve"> | [http://atom.kaeri.re.kr/cgi-bin/nuclide?nuc=Pb-214 &lt;sub&gt;214&lt;/sub&gt;Pb] || - % || 26,8 Minuten || [[radioaktiv]], Uran-Reihe, Erdboden, Luft&lt;br&gt; |-</v>
      </c>
    </row>
    <row r="464" spans="1:14" ht="15.95" customHeight="1">
      <c r="A464">
        <v>82</v>
      </c>
      <c r="B464" s="23" t="s">
        <v>383</v>
      </c>
      <c r="C464">
        <v>999</v>
      </c>
      <c r="D464" t="s">
        <v>384</v>
      </c>
      <c r="E464" t="s">
        <v>981</v>
      </c>
      <c r="N464" t="str">
        <f>CONCATENATE(" |}&lt;br&gt;* [http://atom.kaeri.re.kr/cgi-bin/nuclide?nuc=",B464," alle bekannten ",D464,"-Isotope]")</f>
        <v xml:space="preserve"> |}&lt;br&gt;* [http://atom.kaeri.re.kr/cgi-bin/nuclide?nuc=Pb alle bekannten Blei-Isotope]</v>
      </c>
    </row>
    <row r="465" spans="1:14" ht="15.95" customHeight="1">
      <c r="A465">
        <v>83</v>
      </c>
      <c r="B465" s="23" t="s">
        <v>385</v>
      </c>
      <c r="C465" s="17">
        <v>0</v>
      </c>
      <c r="D465" t="s">
        <v>386</v>
      </c>
      <c r="E465" t="s">
        <v>981</v>
      </c>
      <c r="N465" t="str">
        <f>CONCATENATE("=== [[",D465,"]] ===&lt;br&gt;{| {{tabelle}}&lt;br&gt;! Isotop !! ",$D$1," !! [[",$E$1,"]] !! ",$F$1," &lt;br&gt; |-")</f>
        <v>=== [[Bismut]] ===&lt;br&gt;{| {{tabelle}}&lt;br&gt;! Isotop !! natürliche Häufigkeit !! [[Halbwertszeit]] !! Herkunft, techn. Bedeutung &lt;br&gt; |-</v>
      </c>
    </row>
    <row r="466" spans="1:14" ht="15.95" customHeight="1">
      <c r="A466" s="17">
        <v>83</v>
      </c>
      <c r="B466" s="21" t="s">
        <v>385</v>
      </c>
      <c r="C466" s="17">
        <v>209</v>
      </c>
      <c r="D466" s="17">
        <v>100</v>
      </c>
      <c r="E466" t="s">
        <v>981</v>
      </c>
      <c r="G466" t="str">
        <f>CONCATENATE("[","http://atom.kaeri.re.kr/cgi-bin/nuclide?nuc=",B466,"-",C466," &lt;sub&gt;",C466,"&lt;/sub&gt;",B466,"]")</f>
        <v>[http://atom.kaeri.re.kr/cgi-bin/nuclide?nuc=Bi-209 &lt;sub&gt;209&lt;/sub&gt;Bi]</v>
      </c>
      <c r="H466" t="str">
        <f>CONCATENATE(D466," % || ",E466)</f>
        <v>100 % || stabil</v>
      </c>
      <c r="I466" t="str">
        <f>CONCATENATE(" | ",G466," || ",H466," || ",F466)</f>
        <v xml:space="preserve"> | [http://atom.kaeri.re.kr/cgi-bin/nuclide?nuc=Bi-209 &lt;sub&gt;209&lt;/sub&gt;Bi] || 100 % || stabil || </v>
      </c>
      <c r="N466" t="str">
        <f>CONCATENATE(I466,"&lt;br&gt;"," |-")</f>
        <v xml:space="preserve"> | [http://atom.kaeri.re.kr/cgi-bin/nuclide?nuc=Bi-209 &lt;sub&gt;209&lt;/sub&gt;Bi] || 100 % || stabil || &lt;br&gt; |-</v>
      </c>
    </row>
    <row r="467" spans="1:14" s="18" customFormat="1" ht="15.95" customHeight="1">
      <c r="A467" s="17">
        <v>83</v>
      </c>
      <c r="B467" s="22" t="s">
        <v>385</v>
      </c>
      <c r="C467" s="19">
        <v>214</v>
      </c>
      <c r="D467" s="18" t="s">
        <v>874</v>
      </c>
      <c r="E467" t="s">
        <v>943</v>
      </c>
      <c r="F467" t="s">
        <v>991</v>
      </c>
      <c r="G467" t="str">
        <f>CONCATENATE("[","http://atom.kaeri.re.kr/cgi-bin/nuclide?nuc=",B467,"-",C467," &lt;sub&gt;",C467,"&lt;/sub&gt;",B467,"]")</f>
        <v>[http://atom.kaeri.re.kr/cgi-bin/nuclide?nuc=Bi-214 &lt;sub&gt;214&lt;/sub&gt;Bi]</v>
      </c>
      <c r="H467" t="str">
        <f>CONCATENATE(D467," % || ",E467)</f>
        <v>- % || 19,8 Minuten</v>
      </c>
      <c r="I467" t="str">
        <f>CONCATENATE(" | ",G467," || ",H467," || ",F467)</f>
        <v xml:space="preserve"> | [http://atom.kaeri.re.kr/cgi-bin/nuclide?nuc=Bi-214 &lt;sub&gt;214&lt;/sub&gt;Bi] || - % || 19,8 Minuten || [[radioaktiv]], Uran-Reihe, Erdboden, Luft</v>
      </c>
      <c r="J467"/>
      <c r="K467"/>
      <c r="L467"/>
      <c r="M467"/>
      <c r="N467" t="str">
        <f>CONCATENATE(I467,"&lt;br&gt;"," |-")</f>
        <v xml:space="preserve"> | [http://atom.kaeri.re.kr/cgi-bin/nuclide?nuc=Bi-214 &lt;sub&gt;214&lt;/sub&gt;Bi] || - % || 19,8 Minuten || [[radioaktiv]], Uran-Reihe, Erdboden, Luft&lt;br&gt; |-</v>
      </c>
    </row>
    <row r="468" spans="1:14" ht="15.95" customHeight="1">
      <c r="A468">
        <v>83</v>
      </c>
      <c r="B468" s="23" t="s">
        <v>385</v>
      </c>
      <c r="C468">
        <v>999</v>
      </c>
      <c r="D468" t="s">
        <v>386</v>
      </c>
      <c r="E468" t="s">
        <v>981</v>
      </c>
      <c r="N468" t="str">
        <f>CONCATENATE(" |}&lt;br&gt;* [http://atom.kaeri.re.kr/cgi-bin/nuclide?nuc=",B468," alle bekannten ",D468,"-Isotope]")</f>
        <v xml:space="preserve"> |}&lt;br&gt;* [http://atom.kaeri.re.kr/cgi-bin/nuclide?nuc=Bi alle bekannten Bismut-Isotope]</v>
      </c>
    </row>
    <row r="469" spans="1:14" ht="15.95" customHeight="1">
      <c r="A469">
        <v>84</v>
      </c>
      <c r="B469" s="23" t="s">
        <v>389</v>
      </c>
      <c r="C469" s="17">
        <v>0</v>
      </c>
      <c r="D469" t="s">
        <v>390</v>
      </c>
      <c r="E469" t="s">
        <v>981</v>
      </c>
      <c r="N469" t="str">
        <f>CONCATENATE("=== [[",D469,"]] ===&lt;br&gt;{| {{tabelle}}&lt;br&gt;! Isotop !! ",$D$1," !! [[",$E$1,"]] !! ",$F$1," &lt;br&gt; |-")</f>
        <v>=== [[Polonium]] ===&lt;br&gt;{| {{tabelle}}&lt;br&gt;! Isotop !! natürliche Häufigkeit !! [[Halbwertszeit]] !! Herkunft, techn. Bedeutung &lt;br&gt; |-</v>
      </c>
    </row>
    <row r="470" spans="1:14" ht="15.95" customHeight="1">
      <c r="A470">
        <v>84</v>
      </c>
      <c r="B470" s="23" t="s">
        <v>389</v>
      </c>
      <c r="C470">
        <v>999</v>
      </c>
      <c r="D470" t="s">
        <v>390</v>
      </c>
      <c r="E470" t="s">
        <v>981</v>
      </c>
      <c r="N470" t="str">
        <f>CONCATENATE(" |}&lt;br&gt;* [http://atom.kaeri.re.kr/cgi-bin/nuclide?nuc=",B470," alle bekannten ",D470,"-Isotope]")</f>
        <v xml:space="preserve"> |}&lt;br&gt;* [http://atom.kaeri.re.kr/cgi-bin/nuclide?nuc=Po alle bekannten Polonium-Isotope]</v>
      </c>
    </row>
    <row r="471" spans="1:14" ht="15.95" customHeight="1">
      <c r="A471">
        <v>85</v>
      </c>
      <c r="B471" s="23" t="s">
        <v>391</v>
      </c>
      <c r="C471" s="17">
        <v>0</v>
      </c>
      <c r="D471" t="s">
        <v>392</v>
      </c>
      <c r="E471" t="s">
        <v>981</v>
      </c>
      <c r="N471" t="str">
        <f>CONCATENATE("=== [[",D471,"]] ===&lt;br&gt;{| {{tabelle}}&lt;br&gt;! Isotop !! ",$D$1," !! [[",$E$1,"]] !! ",$F$1," &lt;br&gt; |-")</f>
        <v>=== [[Astat]] ===&lt;br&gt;{| {{tabelle}}&lt;br&gt;! Isotop !! natürliche Häufigkeit !! [[Halbwertszeit]] !! Herkunft, techn. Bedeutung &lt;br&gt; |-</v>
      </c>
    </row>
    <row r="472" spans="1:14" ht="15.95" customHeight="1">
      <c r="A472">
        <v>85</v>
      </c>
      <c r="B472" s="23" t="s">
        <v>391</v>
      </c>
      <c r="C472">
        <v>999</v>
      </c>
      <c r="D472" t="s">
        <v>392</v>
      </c>
      <c r="E472" t="s">
        <v>981</v>
      </c>
      <c r="N472" t="str">
        <f>CONCATENATE(" |}&lt;br&gt;* [http://atom.kaeri.re.kr/cgi-bin/nuclide?nuc=",B472," alle bekannten ",D472,"-Isotope]")</f>
        <v xml:space="preserve"> |}&lt;br&gt;* [http://atom.kaeri.re.kr/cgi-bin/nuclide?nuc=At alle bekannten Astat-Isotope]</v>
      </c>
    </row>
    <row r="473" spans="1:14" ht="15.95" customHeight="1">
      <c r="A473">
        <v>86</v>
      </c>
      <c r="B473" s="23" t="s">
        <v>393</v>
      </c>
      <c r="C473" s="17">
        <v>0</v>
      </c>
      <c r="D473" t="s">
        <v>394</v>
      </c>
      <c r="E473" t="s">
        <v>981</v>
      </c>
      <c r="N473" t="str">
        <f>CONCATENATE("=== [[",D473,"]] ===&lt;br&gt;{| {{tabelle}}&lt;br&gt;! Isotop !! ",$D$1," !! [[",$E$1,"]] !! ",$F$1," &lt;br&gt; |-")</f>
        <v>=== [[Radon]] ===&lt;br&gt;{| {{tabelle}}&lt;br&gt;! Isotop !! natürliche Häufigkeit !! [[Halbwertszeit]] !! Herkunft, techn. Bedeutung &lt;br&gt; |-</v>
      </c>
    </row>
    <row r="474" spans="1:14" s="18" customFormat="1" ht="15.95" customHeight="1">
      <c r="A474">
        <v>86</v>
      </c>
      <c r="B474" s="22" t="s">
        <v>393</v>
      </c>
      <c r="C474" s="19">
        <v>220</v>
      </c>
      <c r="D474" s="18">
        <v>9</v>
      </c>
      <c r="E474" t="s">
        <v>944</v>
      </c>
      <c r="F474" t="s">
        <v>992</v>
      </c>
      <c r="G474" t="str">
        <f>CONCATENATE("[","http://atom.kaeri.re.kr/cgi-bin/nuclide?nuc=",B474,"-",C474," &lt;sub&gt;",C474,"&lt;/sub&gt;",B474,"]")</f>
        <v>[http://atom.kaeri.re.kr/cgi-bin/nuclide?nuc=Rn-220 &lt;sub&gt;220&lt;/sub&gt;Rn]</v>
      </c>
      <c r="H474" t="str">
        <f>CONCATENATE(D474," % || ",E474)</f>
        <v>9 % || 55 Sek</v>
      </c>
      <c r="I474" t="str">
        <f>CONCATENATE(" | ",G474," || ",H474," || ",F474)</f>
        <v xml:space="preserve"> | [http://atom.kaeri.re.kr/cgi-bin/nuclide?nuc=Rn-220 &lt;sub&gt;220&lt;/sub&gt;Rn] || 9 % || 55 Sek || [[radioaktiv]], Thorium-Reihe, Erdboden, Luft</v>
      </c>
      <c r="J474"/>
      <c r="K474"/>
      <c r="L474"/>
      <c r="M474"/>
      <c r="N474" t="str">
        <f>CONCATENATE(I474,"&lt;br&gt;"," |-")</f>
        <v xml:space="preserve"> | [http://atom.kaeri.re.kr/cgi-bin/nuclide?nuc=Rn-220 &lt;sub&gt;220&lt;/sub&gt;Rn] || 9 % || 55 Sek || [[radioaktiv]], Thorium-Reihe, Erdboden, Luft&lt;br&gt; |-</v>
      </c>
    </row>
    <row r="475" spans="1:14" s="18" customFormat="1" ht="15.95" customHeight="1">
      <c r="A475">
        <v>86</v>
      </c>
      <c r="B475" s="22" t="s">
        <v>393</v>
      </c>
      <c r="C475" s="19">
        <v>222</v>
      </c>
      <c r="D475" s="18">
        <v>90</v>
      </c>
      <c r="E475" t="s">
        <v>945</v>
      </c>
      <c r="F475" t="s">
        <v>991</v>
      </c>
      <c r="G475" t="str">
        <f>CONCATENATE("[","http://atom.kaeri.re.kr/cgi-bin/nuclide?nuc=",B475,"-",C475," &lt;sub&gt;",C475,"&lt;/sub&gt;",B475,"]")</f>
        <v>[http://atom.kaeri.re.kr/cgi-bin/nuclide?nuc=Rn-222 &lt;sub&gt;222&lt;/sub&gt;Rn]</v>
      </c>
      <c r="H475" t="str">
        <f>CONCATENATE(D475," % || ",E475)</f>
        <v>90 % || 3,82 Tage</v>
      </c>
      <c r="I475" t="str">
        <f>CONCATENATE(" | ",G475," || ",H475," || ",F475)</f>
        <v xml:space="preserve"> | [http://atom.kaeri.re.kr/cgi-bin/nuclide?nuc=Rn-222 &lt;sub&gt;222&lt;/sub&gt;Rn] || 90 % || 3,82 Tage || [[radioaktiv]], Uran-Reihe, Erdboden, Luft</v>
      </c>
      <c r="J475"/>
      <c r="K475"/>
      <c r="L475"/>
      <c r="M475"/>
      <c r="N475" t="str">
        <f>CONCATENATE(I475,"&lt;br&gt;"," |-")</f>
        <v xml:space="preserve"> | [http://atom.kaeri.re.kr/cgi-bin/nuclide?nuc=Rn-222 &lt;sub&gt;222&lt;/sub&gt;Rn] || 90 % || 3,82 Tage || [[radioaktiv]], Uran-Reihe, Erdboden, Luft&lt;br&gt; |-</v>
      </c>
    </row>
    <row r="476" spans="1:14" ht="15.95" customHeight="1">
      <c r="A476">
        <v>86</v>
      </c>
      <c r="B476" s="23" t="s">
        <v>393</v>
      </c>
      <c r="C476">
        <v>999</v>
      </c>
      <c r="D476" t="s">
        <v>394</v>
      </c>
      <c r="E476" t="s">
        <v>981</v>
      </c>
      <c r="N476" t="str">
        <f>CONCATENATE(" |}&lt;br&gt;* [http://atom.kaeri.re.kr/cgi-bin/nuclide?nuc=",B476," alle bekannten ",D476,"-Isotope]")</f>
        <v xml:space="preserve"> |}&lt;br&gt;* [http://atom.kaeri.re.kr/cgi-bin/nuclide?nuc=Rn alle bekannten Radon-Isotope]</v>
      </c>
    </row>
    <row r="477" spans="1:14" ht="15.95" customHeight="1">
      <c r="A477">
        <v>87</v>
      </c>
      <c r="B477" s="23" t="s">
        <v>395</v>
      </c>
      <c r="C477" s="17">
        <v>0</v>
      </c>
      <c r="D477" t="s">
        <v>396</v>
      </c>
      <c r="E477" t="s">
        <v>981</v>
      </c>
      <c r="N477" t="str">
        <f>CONCATENATE("=== [[",D477,"]] ===&lt;br&gt;{| {{tabelle}}&lt;br&gt;! Isotop !! ",$D$1," !! [[",$E$1,"]] !! ",$F$1," &lt;br&gt; |-")</f>
        <v>=== [[Francium]] ===&lt;br&gt;{| {{tabelle}}&lt;br&gt;! Isotop !! natürliche Häufigkeit !! [[Halbwertszeit]] !! Herkunft, techn. Bedeutung &lt;br&gt; |-</v>
      </c>
    </row>
    <row r="478" spans="1:14" ht="15.95" customHeight="1">
      <c r="A478">
        <v>87</v>
      </c>
      <c r="B478" s="23" t="s">
        <v>395</v>
      </c>
      <c r="C478">
        <v>999</v>
      </c>
      <c r="D478" t="s">
        <v>396</v>
      </c>
      <c r="E478" t="s">
        <v>981</v>
      </c>
      <c r="N478" t="str">
        <f>CONCATENATE(" |}&lt;br&gt;* [http://atom.kaeri.re.kr/cgi-bin/nuclide?nuc=",B478," alle bekannten ",D478,"-Isotope]")</f>
        <v xml:space="preserve"> |}&lt;br&gt;* [http://atom.kaeri.re.kr/cgi-bin/nuclide?nuc=Fr alle bekannten Francium-Isotope]</v>
      </c>
    </row>
    <row r="479" spans="1:14" ht="15.95" customHeight="1">
      <c r="A479">
        <v>88</v>
      </c>
      <c r="B479" s="23" t="s">
        <v>397</v>
      </c>
      <c r="C479" s="17">
        <v>0</v>
      </c>
      <c r="D479" t="s">
        <v>398</v>
      </c>
      <c r="E479" t="s">
        <v>981</v>
      </c>
      <c r="N479" t="str">
        <f>CONCATENATE("=== [[",D479,"]] ===&lt;br&gt;{| {{tabelle}}&lt;br&gt;! Isotop !! ",$D$1," !! [[",$E$1,"]] !! ",$F$1," &lt;br&gt; |-")</f>
        <v>=== [[Radium]] ===&lt;br&gt;{| {{tabelle}}&lt;br&gt;! Isotop !! natürliche Häufigkeit !! [[Halbwertszeit]] !! Herkunft, techn. Bedeutung &lt;br&gt; |-</v>
      </c>
    </row>
    <row r="480" spans="1:14" s="18" customFormat="1" ht="15.95" customHeight="1">
      <c r="A480">
        <v>88</v>
      </c>
      <c r="B480" s="22" t="s">
        <v>397</v>
      </c>
      <c r="C480" s="19">
        <v>226</v>
      </c>
      <c r="D480" s="18" t="s">
        <v>874</v>
      </c>
      <c r="E480" t="s">
        <v>946</v>
      </c>
      <c r="F480" t="s">
        <v>993</v>
      </c>
      <c r="G480" t="str">
        <f>CONCATENATE("[","http://atom.kaeri.re.kr/cgi-bin/nuclide?nuc=",B480,"-",C480," &lt;sub&gt;",C480,"&lt;/sub&gt;",B480,"]")</f>
        <v>[http://atom.kaeri.re.kr/cgi-bin/nuclide?nuc=Ra-226 &lt;sub&gt;226&lt;/sub&gt;Ra]</v>
      </c>
      <c r="H480" t="str">
        <f>CONCATENATE(D480," % || ",E480)</f>
        <v>- % || 1600 Jahre</v>
      </c>
      <c r="I480" t="str">
        <f>CONCATENATE(" | ",G480," || ",H480," || ",F480)</f>
        <v xml:space="preserve"> | [http://atom.kaeri.re.kr/cgi-bin/nuclide?nuc=Ra-226 &lt;sub&gt;226&lt;/sub&gt;Ra] || - % || 1600 Jahre || [[radioaktiv]], Uran-Reihe, Erdboden</v>
      </c>
      <c r="J480"/>
      <c r="K480"/>
      <c r="L480"/>
      <c r="M480"/>
      <c r="N480" t="str">
        <f>CONCATENATE(I480,"&lt;br&gt;"," |-")</f>
        <v xml:space="preserve"> | [http://atom.kaeri.re.kr/cgi-bin/nuclide?nuc=Ra-226 &lt;sub&gt;226&lt;/sub&gt;Ra] || - % || 1600 Jahre || [[radioaktiv]], Uran-Reihe, Erdboden&lt;br&gt; |-</v>
      </c>
    </row>
    <row r="481" spans="1:14" ht="15.95" customHeight="1">
      <c r="A481">
        <v>88</v>
      </c>
      <c r="B481" s="23" t="s">
        <v>397</v>
      </c>
      <c r="C481">
        <v>999</v>
      </c>
      <c r="D481" t="s">
        <v>398</v>
      </c>
      <c r="E481" t="s">
        <v>981</v>
      </c>
      <c r="N481" t="str">
        <f>CONCATENATE(" |}&lt;br&gt;* [http://atom.kaeri.re.kr/cgi-bin/nuclide?nuc=",B481," alle bekannten ",D481,"-Isotope]")</f>
        <v xml:space="preserve"> |}&lt;br&gt;* [http://atom.kaeri.re.kr/cgi-bin/nuclide?nuc=Ra alle bekannten Radium-Isotope]</v>
      </c>
    </row>
    <row r="482" spans="1:14" ht="15.95" customHeight="1">
      <c r="A482">
        <v>89</v>
      </c>
      <c r="B482" s="23" t="s">
        <v>399</v>
      </c>
      <c r="C482" s="17">
        <v>0</v>
      </c>
      <c r="D482" t="s">
        <v>400</v>
      </c>
      <c r="E482" t="s">
        <v>981</v>
      </c>
      <c r="N482" t="str">
        <f>CONCATENATE("=== [[",D482,"]] ===&lt;br&gt;{| {{tabelle}}&lt;br&gt;! Isotop !! ",$D$1," !! [[",$E$1,"]] !! ",$F$1," &lt;br&gt; |-")</f>
        <v>=== [[Actinium]] ===&lt;br&gt;{| {{tabelle}}&lt;br&gt;! Isotop !! natürliche Häufigkeit !! [[Halbwertszeit]] !! Herkunft, techn. Bedeutung &lt;br&gt; |-</v>
      </c>
    </row>
    <row r="483" spans="1:14" ht="15.95" customHeight="1">
      <c r="A483">
        <v>89</v>
      </c>
      <c r="B483" s="23" t="s">
        <v>399</v>
      </c>
      <c r="C483">
        <v>999</v>
      </c>
      <c r="D483" t="s">
        <v>400</v>
      </c>
      <c r="E483" t="s">
        <v>981</v>
      </c>
      <c r="N483" t="str">
        <f>CONCATENATE(" |}&lt;br&gt;* [http://atom.kaeri.re.kr/cgi-bin/nuclide?nuc=",B483," alle bekannten ",D483,"-Isotope]")</f>
        <v xml:space="preserve"> |}&lt;br&gt;* [http://atom.kaeri.re.kr/cgi-bin/nuclide?nuc=Ac alle bekannten Actinium-Isotope]</v>
      </c>
    </row>
    <row r="484" spans="1:14" ht="15.95" customHeight="1">
      <c r="A484">
        <v>90</v>
      </c>
      <c r="B484" s="23" t="s">
        <v>401</v>
      </c>
      <c r="C484">
        <v>0</v>
      </c>
      <c r="D484" t="s">
        <v>402</v>
      </c>
      <c r="E484" t="s">
        <v>981</v>
      </c>
      <c r="N484" t="str">
        <f>CONCATENATE("=== [[",D484,"]] ===&lt;br&gt;{| {{tabelle}}&lt;br&gt;! Isotop !! ",$D$1," !! [[",$E$1,"]] !! ",$F$1," &lt;br&gt; |-")</f>
        <v>=== [[Thorium]] ===&lt;br&gt;{| {{tabelle}}&lt;br&gt;! Isotop !! natürliche Häufigkeit !! [[Halbwertszeit]] !! Herkunft, techn. Bedeutung &lt;br&gt; |-</v>
      </c>
    </row>
    <row r="485" spans="1:14" ht="15.95" customHeight="1">
      <c r="A485" s="17">
        <v>90</v>
      </c>
      <c r="B485" s="21" t="s">
        <v>401</v>
      </c>
      <c r="C485">
        <v>232</v>
      </c>
      <c r="D485" s="18" t="s">
        <v>986</v>
      </c>
      <c r="E485" t="s">
        <v>947</v>
      </c>
      <c r="F485" t="s">
        <v>985</v>
      </c>
      <c r="G485" t="str">
        <f>CONCATENATE("[","http://atom.kaeri.re.kr/cgi-bin/nuclide?nuc=",B485,"-",C485," &lt;sub&gt;",C485,"&lt;/sub&gt;",B485,"]")</f>
        <v>[http://atom.kaeri.re.kr/cgi-bin/nuclide?nuc=Th-232 &lt;sub&gt;232&lt;/sub&gt;Th]</v>
      </c>
      <c r="H485" t="str">
        <f>CONCATENATE(D485," % || ",E485)</f>
        <v>ca. 100 % || 14 Milliarden Jahre</v>
      </c>
      <c r="I485" t="str">
        <f>CONCATENATE(" | ",G485," || ",H485," || ",F485)</f>
        <v xml:space="preserve"> | [http://atom.kaeri.re.kr/cgi-bin/nuclide?nuc=Th-232 &lt;sub&gt;232&lt;/sub&gt;Th] || ca. 100 % || 14 Milliarden Jahre || [[radioaktiv]], Erdkruste</v>
      </c>
      <c r="N485" t="str">
        <f>CONCATENATE(I485,"&lt;br&gt;"," |-")</f>
        <v xml:space="preserve"> | [http://atom.kaeri.re.kr/cgi-bin/nuclide?nuc=Th-232 &lt;sub&gt;232&lt;/sub&gt;Th] || ca. 100 % || 14 Milliarden Jahre || [[radioaktiv]], Erdkruste&lt;br&gt; |-</v>
      </c>
    </row>
    <row r="486" spans="1:14" ht="15.95" customHeight="1">
      <c r="A486" s="17">
        <v>90</v>
      </c>
      <c r="B486" s="23" t="s">
        <v>401</v>
      </c>
      <c r="C486">
        <v>999</v>
      </c>
      <c r="D486" t="s">
        <v>402</v>
      </c>
      <c r="E486" t="s">
        <v>981</v>
      </c>
      <c r="N486" t="str">
        <f>CONCATENATE(" |}&lt;br&gt;* [http://atom.kaeri.re.kr/cgi-bin/nuclide?nuc=",B486," alle bekannten ",D486,"-Isotope]")</f>
        <v xml:space="preserve"> |}&lt;br&gt;* [http://atom.kaeri.re.kr/cgi-bin/nuclide?nuc=Th alle bekannten Thorium-Isotope]</v>
      </c>
    </row>
    <row r="487" spans="1:14" ht="15.95" customHeight="1">
      <c r="A487">
        <v>91</v>
      </c>
      <c r="B487" s="23" t="s">
        <v>403</v>
      </c>
      <c r="C487" s="17">
        <v>0</v>
      </c>
      <c r="D487" t="s">
        <v>404</v>
      </c>
      <c r="E487" t="s">
        <v>981</v>
      </c>
      <c r="N487" t="str">
        <f>CONCATENATE("=== [[",D487,"]] ===&lt;br&gt;{| {{tabelle}}&lt;br&gt;! Isotop !! ",$D$1," !! [[",$E$1,"]] !! ",$F$1," &lt;br&gt; |-")</f>
        <v>=== [[Protactinium]] ===&lt;br&gt;{| {{tabelle}}&lt;br&gt;! Isotop !! natürliche Häufigkeit !! [[Halbwertszeit]] !! Herkunft, techn. Bedeutung &lt;br&gt; |-</v>
      </c>
    </row>
    <row r="488" spans="1:14" ht="15.95" customHeight="1">
      <c r="A488" s="17">
        <v>91</v>
      </c>
      <c r="B488" s="21" t="s">
        <v>403</v>
      </c>
      <c r="C488" s="17">
        <v>231</v>
      </c>
      <c r="D488" s="17">
        <v>100</v>
      </c>
      <c r="E488" t="s">
        <v>981</v>
      </c>
      <c r="G488" t="str">
        <f>CONCATENATE("[","http://atom.kaeri.re.kr/cgi-bin/nuclide?nuc=",B488,"-",C488," &lt;sub&gt;",C488,"&lt;/sub&gt;",B488,"]")</f>
        <v>[http://atom.kaeri.re.kr/cgi-bin/nuclide?nuc=Pa-231 &lt;sub&gt;231&lt;/sub&gt;Pa]</v>
      </c>
      <c r="H488" t="str">
        <f>CONCATENATE(D488," % || ",E488)</f>
        <v>100 % || stabil</v>
      </c>
      <c r="I488" t="str">
        <f>CONCATENATE(" | ",G488," || ",H488," || ",F488)</f>
        <v xml:space="preserve"> | [http://atom.kaeri.re.kr/cgi-bin/nuclide?nuc=Pa-231 &lt;sub&gt;231&lt;/sub&gt;Pa] || 100 % || stabil || </v>
      </c>
      <c r="N488" t="str">
        <f>CONCATENATE(I488,"&lt;br&gt;"," |-")</f>
        <v xml:space="preserve"> | [http://atom.kaeri.re.kr/cgi-bin/nuclide?nuc=Pa-231 &lt;sub&gt;231&lt;/sub&gt;Pa] || 100 % || stabil || &lt;br&gt; |-</v>
      </c>
    </row>
    <row r="489" spans="1:14" ht="15.95" customHeight="1">
      <c r="A489">
        <v>91</v>
      </c>
      <c r="B489" s="23" t="s">
        <v>403</v>
      </c>
      <c r="C489">
        <v>999</v>
      </c>
      <c r="D489" t="s">
        <v>404</v>
      </c>
      <c r="E489" t="s">
        <v>981</v>
      </c>
      <c r="N489" t="str">
        <f>CONCATENATE(" |}&lt;br&gt;* [http://atom.kaeri.re.kr/cgi-bin/nuclide?nuc=",B489," alle bekannten ",D489,"-Isotope]")</f>
        <v xml:space="preserve"> |}&lt;br&gt;* [http://atom.kaeri.re.kr/cgi-bin/nuclide?nuc=Pa alle bekannten Protactinium-Isotope]</v>
      </c>
    </row>
    <row r="490" spans="1:14" ht="15.95" customHeight="1">
      <c r="A490">
        <v>92</v>
      </c>
      <c r="B490" s="23" t="s">
        <v>405</v>
      </c>
      <c r="C490" s="17">
        <v>0</v>
      </c>
      <c r="D490" t="s">
        <v>406</v>
      </c>
      <c r="E490" t="s">
        <v>981</v>
      </c>
      <c r="N490" t="str">
        <f>CONCATENATE("=== [[",D490,"]] ===&lt;br&gt;{| {{tabelle}}&lt;br&gt;! Isotop !! ",$D$1," !! [[",$E$1,"]] !! ",$F$1," &lt;br&gt; |-")</f>
        <v>=== [[Uran]] ===&lt;br&gt;{| {{tabelle}}&lt;br&gt;! Isotop !! natürliche Häufigkeit !! [[Halbwertszeit]] !! Herkunft, techn. Bedeutung &lt;br&gt; |-</v>
      </c>
    </row>
    <row r="491" spans="1:14" ht="15.95" customHeight="1">
      <c r="A491" s="17">
        <v>92</v>
      </c>
      <c r="B491" s="21" t="s">
        <v>405</v>
      </c>
      <c r="C491" s="17">
        <v>234</v>
      </c>
      <c r="D491" s="17">
        <v>5.4999999999999997E-3</v>
      </c>
      <c r="E491" t="s">
        <v>981</v>
      </c>
      <c r="G491" t="str">
        <f>CONCATENATE("[","http://atom.kaeri.re.kr/cgi-bin/nuclide?nuc=",B491,"-",C491," &lt;sub&gt;",C491,"&lt;/sub&gt;",B491,"]")</f>
        <v>[http://atom.kaeri.re.kr/cgi-bin/nuclide?nuc=U-234 &lt;sub&gt;234&lt;/sub&gt;U]</v>
      </c>
      <c r="H491" t="str">
        <f>CONCATENATE(D491," % || ",E491)</f>
        <v>0,0055 % || stabil</v>
      </c>
      <c r="I491" t="str">
        <f>CONCATENATE(" | ",G491," || ",H491," || ",F491)</f>
        <v xml:space="preserve"> | [http://atom.kaeri.re.kr/cgi-bin/nuclide?nuc=U-234 &lt;sub&gt;234&lt;/sub&gt;U] || 0,0055 % || stabil || </v>
      </c>
      <c r="N491" t="str">
        <f>CONCATENATE(I491,"&lt;br&gt;"," |-")</f>
        <v xml:space="preserve"> | [http://atom.kaeri.re.kr/cgi-bin/nuclide?nuc=U-234 &lt;sub&gt;234&lt;/sub&gt;U] || 0,0055 % || stabil || &lt;br&gt; |-</v>
      </c>
    </row>
    <row r="492" spans="1:14" ht="15.95" customHeight="1">
      <c r="A492" s="17">
        <v>92</v>
      </c>
      <c r="B492" s="21" t="s">
        <v>405</v>
      </c>
      <c r="C492" s="17">
        <v>235</v>
      </c>
      <c r="D492" s="17">
        <v>0.72</v>
      </c>
      <c r="E492" t="s">
        <v>948</v>
      </c>
      <c r="F492" t="s">
        <v>984</v>
      </c>
      <c r="G492" t="str">
        <f>CONCATENATE("[","http://atom.kaeri.re.kr/cgi-bin/nuclide?nuc=",B492,"-",C492," &lt;sub&gt;",C492,"&lt;/sub&gt;",B492,"]")</f>
        <v>[http://atom.kaeri.re.kr/cgi-bin/nuclide?nuc=U-235 &lt;sub&gt;235&lt;/sub&gt;U]</v>
      </c>
      <c r="H492" t="str">
        <f>CONCATENATE(D492," % || ",E492)</f>
        <v>0,72 % || 0,7 Milliarden Jahre</v>
      </c>
      <c r="I492" t="str">
        <f>CONCATENATE(" | ",G492," || ",H492," || ",F492)</f>
        <v xml:space="preserve"> | [http://atom.kaeri.re.kr/cgi-bin/nuclide?nuc=U-235 &lt;sub&gt;235&lt;/sub&gt;U] || 0,72 % || 0,7 Milliarden Jahre || [[radioaktiv]], Erdkruste, Kernenergie, Atomwaffen</v>
      </c>
      <c r="N492" t="str">
        <f>CONCATENATE(I492,"&lt;br&gt;"," |-")</f>
        <v xml:space="preserve"> | [http://atom.kaeri.re.kr/cgi-bin/nuclide?nuc=U-235 &lt;sub&gt;235&lt;/sub&gt;U] || 0,72 % || 0,7 Milliarden Jahre || [[radioaktiv]], Erdkruste, Kernenergie, Atomwaffen&lt;br&gt; |-</v>
      </c>
    </row>
    <row r="493" spans="1:14" ht="15.95" customHeight="1">
      <c r="A493" s="17">
        <v>92</v>
      </c>
      <c r="B493" s="21" t="s">
        <v>405</v>
      </c>
      <c r="C493" s="17">
        <v>238</v>
      </c>
      <c r="D493" s="17">
        <v>99.274500000000003</v>
      </c>
      <c r="E493" t="s">
        <v>949</v>
      </c>
      <c r="F493" t="s">
        <v>984</v>
      </c>
      <c r="G493" t="str">
        <f>CONCATENATE("[","http://atom.kaeri.re.kr/cgi-bin/nuclide?nuc=",B493,"-",C493," &lt;sub&gt;",C493,"&lt;/sub&gt;",B493,"]")</f>
        <v>[http://atom.kaeri.re.kr/cgi-bin/nuclide?nuc=U-238 &lt;sub&gt;238&lt;/sub&gt;U]</v>
      </c>
      <c r="H493" t="str">
        <f>CONCATENATE(D493," % || ",E493)</f>
        <v>99,2745 % || 4,5 Milliarden Jahre</v>
      </c>
      <c r="I493" t="str">
        <f>CONCATENATE(" | ",G493," || ",H493," || ",F493)</f>
        <v xml:space="preserve"> | [http://atom.kaeri.re.kr/cgi-bin/nuclide?nuc=U-238 &lt;sub&gt;238&lt;/sub&gt;U] || 99,2745 % || 4,5 Milliarden Jahre || [[radioaktiv]], Erdkruste, Kernenergie, Atomwaffen</v>
      </c>
      <c r="N493" t="str">
        <f>CONCATENATE(I493,"&lt;br&gt;"," |-")</f>
        <v xml:space="preserve"> | [http://atom.kaeri.re.kr/cgi-bin/nuclide?nuc=U-238 &lt;sub&gt;238&lt;/sub&gt;U] || 99,2745 % || 4,5 Milliarden Jahre || [[radioaktiv]], Erdkruste, Kernenergie, Atomwaffen&lt;br&gt; |-</v>
      </c>
    </row>
    <row r="494" spans="1:14" ht="15.95" customHeight="1">
      <c r="A494">
        <v>92</v>
      </c>
      <c r="B494" s="23" t="s">
        <v>405</v>
      </c>
      <c r="C494">
        <v>999</v>
      </c>
      <c r="D494" t="s">
        <v>406</v>
      </c>
      <c r="E494" t="s">
        <v>981</v>
      </c>
      <c r="N494" t="str">
        <f>CONCATENATE(" |}&lt;br&gt;* [http://atom.kaeri.re.kr/cgi-bin/nuclide?nuc=",B494," alle bekannten ",D494,"-Isotope]")</f>
        <v xml:space="preserve"> |}&lt;br&gt;* [http://atom.kaeri.re.kr/cgi-bin/nuclide?nuc=U alle bekannten Uran-Isotope]</v>
      </c>
    </row>
    <row r="495" spans="1:14" ht="15.95" customHeight="1">
      <c r="A495">
        <v>93</v>
      </c>
      <c r="B495" s="23" t="s">
        <v>407</v>
      </c>
      <c r="C495" s="17">
        <v>0</v>
      </c>
      <c r="D495" t="s">
        <v>408</v>
      </c>
      <c r="E495" t="s">
        <v>981</v>
      </c>
      <c r="N495" t="str">
        <f>CONCATENATE("=== [[",D495,"]] ===&lt;br&gt;{| {{tabelle}}&lt;br&gt;! Isotop !! ",$D$1," !! [[",$E$1,"]] !! ",$F$1," &lt;br&gt; |-")</f>
        <v>=== [[Neptunium]] ===&lt;br&gt;{| {{tabelle}}&lt;br&gt;! Isotop !! natürliche Häufigkeit !! [[Halbwertszeit]] !! Herkunft, techn. Bedeutung &lt;br&gt; |-</v>
      </c>
    </row>
    <row r="496" spans="1:14" ht="15.95" customHeight="1">
      <c r="A496">
        <v>93</v>
      </c>
      <c r="B496" s="23" t="s">
        <v>407</v>
      </c>
      <c r="C496">
        <v>999</v>
      </c>
      <c r="D496" t="s">
        <v>408</v>
      </c>
      <c r="E496" t="s">
        <v>981</v>
      </c>
      <c r="N496" t="str">
        <f>CONCATENATE(" |}&lt;br&gt;* [http://atom.kaeri.re.kr/cgi-bin/nuclide?nuc=",B496," alle bekannten ",D496,"-Isotope]")</f>
        <v xml:space="preserve"> |}&lt;br&gt;* [http://atom.kaeri.re.kr/cgi-bin/nuclide?nuc=Np alle bekannten Neptunium-Isotope]</v>
      </c>
    </row>
    <row r="497" spans="1:14" ht="15.95" customHeight="1">
      <c r="A497">
        <v>94</v>
      </c>
      <c r="B497" s="23" t="s">
        <v>409</v>
      </c>
      <c r="C497" s="17">
        <v>0</v>
      </c>
      <c r="D497" t="s">
        <v>410</v>
      </c>
      <c r="E497" t="s">
        <v>981</v>
      </c>
      <c r="N497" t="str">
        <f>CONCATENATE("=== [[",D497,"]] ===&lt;br&gt;{| {{tabelle}}&lt;br&gt;! Isotop !! ",$D$1," !! [[",$E$1,"]] !! ",$F$1," &lt;br&gt; |-")</f>
        <v>=== [[Plutonium]] ===&lt;br&gt;{| {{tabelle}}&lt;br&gt;! Isotop !! natürliche Häufigkeit !! [[Halbwertszeit]] !! Herkunft, techn. Bedeutung &lt;br&gt; |-</v>
      </c>
    </row>
    <row r="498" spans="1:14" s="18" customFormat="1" ht="15.95" customHeight="1">
      <c r="A498">
        <v>94</v>
      </c>
      <c r="B498" s="22" t="s">
        <v>409</v>
      </c>
      <c r="C498" s="19">
        <v>238</v>
      </c>
      <c r="D498" s="18" t="s">
        <v>874</v>
      </c>
      <c r="E498" t="s">
        <v>978</v>
      </c>
      <c r="F498" t="s">
        <v>997</v>
      </c>
      <c r="G498" t="str">
        <f>CONCATENATE("[","http://atom.kaeri.re.kr/cgi-bin/nuclide?nuc=",B498,"-",C498," &lt;sub&gt;",C498,"&lt;/sub&gt;",B498,"]")</f>
        <v>[http://atom.kaeri.re.kr/cgi-bin/nuclide?nuc=Pu-238 &lt;sub&gt;238&lt;/sub&gt;Pu]</v>
      </c>
      <c r="H498" t="str">
        <f>CONCATENATE(D498," % || ",E498)</f>
        <v>- % || 87,7 Jahre</v>
      </c>
      <c r="I498" t="str">
        <f>CONCATENATE(" | ",G498," || ",H498," || ",F498)</f>
        <v xml:space="preserve"> | [http://atom.kaeri.re.kr/cgi-bin/nuclide?nuc=Pu-238 &lt;sub&gt;238&lt;/sub&gt;Pu] || - % || 87,7 Jahre || [[radioaktiv]], Kerntechnik, Isotopenbatterien</v>
      </c>
      <c r="J498"/>
      <c r="K498"/>
      <c r="L498"/>
      <c r="M498"/>
      <c r="N498" t="str">
        <f>CONCATENATE(I498,"&lt;br&gt;"," |-")</f>
        <v xml:space="preserve"> | [http://atom.kaeri.re.kr/cgi-bin/nuclide?nuc=Pu-238 &lt;sub&gt;238&lt;/sub&gt;Pu] || - % || 87,7 Jahre || [[radioaktiv]], Kerntechnik, Isotopenbatterien&lt;br&gt; |-</v>
      </c>
    </row>
    <row r="499" spans="1:14" s="18" customFormat="1" ht="15.95" customHeight="1">
      <c r="A499">
        <v>94</v>
      </c>
      <c r="B499" s="22" t="s">
        <v>409</v>
      </c>
      <c r="C499" s="19">
        <v>239</v>
      </c>
      <c r="D499" s="18" t="s">
        <v>874</v>
      </c>
      <c r="E499" t="s">
        <v>979</v>
      </c>
      <c r="F499" t="s">
        <v>998</v>
      </c>
      <c r="G499" t="str">
        <f>CONCATENATE("[","http://atom.kaeri.re.kr/cgi-bin/nuclide?nuc=",B499,"-",C499," &lt;sub&gt;",C499,"&lt;/sub&gt;",B499,"]")</f>
        <v>[http://atom.kaeri.re.kr/cgi-bin/nuclide?nuc=Pu-239 &lt;sub&gt;239&lt;/sub&gt;Pu]</v>
      </c>
      <c r="H499" t="str">
        <f>CONCATENATE(D499," % || ",E499)</f>
        <v>- % || 24110 Jahre</v>
      </c>
      <c r="I499" t="str">
        <f>CONCATENATE(" | ",G499," || ",H499," || ",F499)</f>
        <v xml:space="preserve"> | [http://atom.kaeri.re.kr/cgi-bin/nuclide?nuc=Pu-239 &lt;sub&gt;239&lt;/sub&gt;Pu] || - % || 24110 Jahre || [[radioaktiv]], Kerntechnik, Kernwaffentechnik</v>
      </c>
      <c r="J499"/>
      <c r="K499"/>
      <c r="L499"/>
      <c r="M499"/>
      <c r="N499" t="str">
        <f>CONCATENATE(I499,"&lt;br&gt;"," |-")</f>
        <v xml:space="preserve"> | [http://atom.kaeri.re.kr/cgi-bin/nuclide?nuc=Pu-239 &lt;sub&gt;239&lt;/sub&gt;Pu] || - % || 24110 Jahre || [[radioaktiv]], Kerntechnik, Kernwaffentechnik&lt;br&gt; |-</v>
      </c>
    </row>
    <row r="500" spans="1:14" ht="15.95" customHeight="1">
      <c r="A500">
        <v>94</v>
      </c>
      <c r="B500" s="23" t="s">
        <v>409</v>
      </c>
      <c r="C500">
        <v>999</v>
      </c>
      <c r="D500" t="s">
        <v>410</v>
      </c>
      <c r="E500" t="s">
        <v>981</v>
      </c>
      <c r="N500" t="str">
        <f>CONCATENATE(" |}&lt;br&gt;* [http://atom.kaeri.re.kr/cgi-bin/nuclide?nuc=",B500," alle bekannten ",D500,"-Isotope]")</f>
        <v xml:space="preserve"> |}&lt;br&gt;* [http://atom.kaeri.re.kr/cgi-bin/nuclide?nuc=Pu alle bekannten Plutonium-Isotope]</v>
      </c>
    </row>
    <row r="501" spans="1:14" ht="15.95" customHeight="1">
      <c r="A501">
        <v>95</v>
      </c>
      <c r="B501" s="23" t="s">
        <v>411</v>
      </c>
      <c r="C501" s="17">
        <v>0</v>
      </c>
      <c r="D501" t="s">
        <v>412</v>
      </c>
      <c r="E501" t="s">
        <v>981</v>
      </c>
      <c r="N501" t="str">
        <f>CONCATENATE("=== [[",D501,"]] ===&lt;br&gt;{| {{tabelle}}&lt;br&gt;! Isotop !! ",$D$1," !! [[",$E$1,"]] !! ",$F$1," &lt;br&gt; |-")</f>
        <v>=== [[Americium]] ===&lt;br&gt;{| {{tabelle}}&lt;br&gt;! Isotop !! natürliche Häufigkeit !! [[Halbwertszeit]] !! Herkunft, techn. Bedeutung &lt;br&gt; |-</v>
      </c>
    </row>
    <row r="502" spans="1:14" s="18" customFormat="1" ht="15.95" customHeight="1">
      <c r="A502" s="18">
        <v>95</v>
      </c>
      <c r="B502" s="24" t="s">
        <v>411</v>
      </c>
      <c r="C502" s="19">
        <v>241</v>
      </c>
      <c r="D502" s="18" t="s">
        <v>874</v>
      </c>
      <c r="E502" t="s">
        <v>980</v>
      </c>
      <c r="F502" t="s">
        <v>999</v>
      </c>
      <c r="G502" t="str">
        <f>CONCATENATE("[","http://atom.kaeri.re.kr/cgi-bin/nuclide?nuc=",B502,"-",C502," &lt;sub&gt;",C502,"&lt;/sub&gt;",B502,"]")</f>
        <v>[http://atom.kaeri.re.kr/cgi-bin/nuclide?nuc=Am-241 &lt;sub&gt;241&lt;/sub&gt;Am]</v>
      </c>
      <c r="H502" t="str">
        <f>CONCATENATE(D502," % || ",E502)</f>
        <v>- % || 433 Jahre</v>
      </c>
      <c r="I502" t="str">
        <f>CONCATENATE(" | ",G502," || ",H502," || ",F502)</f>
        <v xml:space="preserve"> | [http://atom.kaeri.re.kr/cgi-bin/nuclide?nuc=Am-241 &lt;sub&gt;241&lt;/sub&gt;Am] || - % || 433 Jahre || [[radioaktiv]], Kerntechnik, Brandmelder, Prüftechnik</v>
      </c>
      <c r="J502"/>
      <c r="K502"/>
      <c r="L502"/>
      <c r="M502"/>
      <c r="N502" t="str">
        <f>CONCATENATE(I502,"&lt;br&gt;"," |-")</f>
        <v xml:space="preserve"> | [http://atom.kaeri.re.kr/cgi-bin/nuclide?nuc=Am-241 &lt;sub&gt;241&lt;/sub&gt;Am] || - % || 433 Jahre || [[radioaktiv]], Kerntechnik, Brandmelder, Prüftechnik&lt;br&gt; |-</v>
      </c>
    </row>
    <row r="503" spans="1:14" ht="15.95" customHeight="1">
      <c r="A503">
        <v>95</v>
      </c>
      <c r="B503" s="23" t="s">
        <v>411</v>
      </c>
      <c r="C503">
        <v>999</v>
      </c>
      <c r="D503" t="s">
        <v>412</v>
      </c>
      <c r="E503" t="s">
        <v>981</v>
      </c>
      <c r="N503" t="str">
        <f>CONCATENATE(" |}&lt;br&gt;* [http://atom.kaeri.re.kr/cgi-bin/nuclide?nuc=",B503," alle bekannten ",D503,"-Isotope]")</f>
        <v xml:space="preserve"> |}&lt;br&gt;* [http://atom.kaeri.re.kr/cgi-bin/nuclide?nuc=Am alle bekannten Americium-Isotope]</v>
      </c>
    </row>
    <row r="504" spans="1:14" ht="15.95" customHeight="1">
      <c r="A504">
        <v>96</v>
      </c>
      <c r="B504" s="23" t="s">
        <v>413</v>
      </c>
      <c r="C504" s="17">
        <v>0</v>
      </c>
      <c r="D504" t="s">
        <v>414</v>
      </c>
      <c r="E504" t="s">
        <v>981</v>
      </c>
      <c r="N504" t="str">
        <f>CONCATENATE("=== [[",D504,"]] ===&lt;br&gt;{| {{tabelle}}&lt;br&gt;! Isotop !! ",$D$1," !! [[",$E$1,"]] !! ",$F$1," &lt;br&gt; |-")</f>
        <v>=== [[Curium]] ===&lt;br&gt;{| {{tabelle}}&lt;br&gt;! Isotop !! natürliche Häufigkeit !! [[Halbwertszeit]] !! Herkunft, techn. Bedeutung &lt;br&gt; |-</v>
      </c>
    </row>
    <row r="505" spans="1:14" ht="15.95" customHeight="1">
      <c r="A505">
        <v>96</v>
      </c>
      <c r="B505" s="23" t="s">
        <v>413</v>
      </c>
      <c r="C505">
        <v>999</v>
      </c>
      <c r="D505" t="s">
        <v>414</v>
      </c>
      <c r="E505" t="s">
        <v>981</v>
      </c>
      <c r="N505" t="str">
        <f>CONCATENATE(" |}&lt;br&gt;* [http://atom.kaeri.re.kr/cgi-bin/nuclide?nuc=",B505," alle bekannten ",D505,"-Isotope]")</f>
        <v xml:space="preserve"> |}&lt;br&gt;* [http://atom.kaeri.re.kr/cgi-bin/nuclide?nuc=Cm alle bekannten Curium-Isotope]</v>
      </c>
    </row>
    <row r="506" spans="1:14" ht="15.95" customHeight="1">
      <c r="A506">
        <v>97</v>
      </c>
      <c r="B506" s="23" t="s">
        <v>415</v>
      </c>
      <c r="C506" s="17">
        <v>0</v>
      </c>
      <c r="D506" t="s">
        <v>416</v>
      </c>
      <c r="E506" t="s">
        <v>981</v>
      </c>
      <c r="N506" t="str">
        <f>CONCATENATE("=== [[",D506,"]] ===&lt;br&gt;{| {{tabelle}}&lt;br&gt;! Isotop !! ",$D$1," !! [[",$E$1,"]] !! ",$F$1," &lt;br&gt; |-")</f>
        <v>=== [[Berkelium]] ===&lt;br&gt;{| {{tabelle}}&lt;br&gt;! Isotop !! natürliche Häufigkeit !! [[Halbwertszeit]] !! Herkunft, techn. Bedeutung &lt;br&gt; |-</v>
      </c>
    </row>
    <row r="507" spans="1:14" ht="15.95" customHeight="1">
      <c r="A507">
        <v>97</v>
      </c>
      <c r="B507" s="23" t="s">
        <v>415</v>
      </c>
      <c r="C507">
        <v>999</v>
      </c>
      <c r="D507" t="s">
        <v>416</v>
      </c>
      <c r="E507" t="s">
        <v>981</v>
      </c>
      <c r="N507" t="str">
        <f>CONCATENATE(" |}&lt;br&gt;* [http://atom.kaeri.re.kr/cgi-bin/nuclide?nuc=",B507," alle bekannten ",D507,"-Isotope]")</f>
        <v xml:space="preserve"> |}&lt;br&gt;* [http://atom.kaeri.re.kr/cgi-bin/nuclide?nuc=Bk alle bekannten Berkelium-Isotope]</v>
      </c>
    </row>
    <row r="508" spans="1:14" ht="15.95" customHeight="1">
      <c r="A508">
        <v>98</v>
      </c>
      <c r="B508" s="23" t="s">
        <v>417</v>
      </c>
      <c r="C508" s="17">
        <v>0</v>
      </c>
      <c r="D508" t="s">
        <v>418</v>
      </c>
      <c r="E508" t="s">
        <v>981</v>
      </c>
      <c r="N508" t="str">
        <f>CONCATENATE("=== [[",D508,"]] ===&lt;br&gt;{| {{tabelle}}&lt;br&gt;! Isotop !! ",$D$1," !! [[",$E$1,"]] !! ",$F$1," &lt;br&gt; |-")</f>
        <v>=== [[Californium]] ===&lt;br&gt;{| {{tabelle}}&lt;br&gt;! Isotop !! natürliche Häufigkeit !! [[Halbwertszeit]] !! Herkunft, techn. Bedeutung &lt;br&gt; |-</v>
      </c>
    </row>
    <row r="509" spans="1:14" ht="15.95" customHeight="1">
      <c r="A509">
        <v>98</v>
      </c>
      <c r="B509" s="23" t="s">
        <v>417</v>
      </c>
      <c r="C509">
        <v>999</v>
      </c>
      <c r="D509" t="s">
        <v>418</v>
      </c>
      <c r="E509" t="s">
        <v>981</v>
      </c>
      <c r="N509" t="str">
        <f>CONCATENATE(" |}&lt;br&gt;* [http://atom.kaeri.re.kr/cgi-bin/nuclide?nuc=",B509," alle bekannten ",D509,"-Isotope]")</f>
        <v xml:space="preserve"> |}&lt;br&gt;* [http://atom.kaeri.re.kr/cgi-bin/nuclide?nuc=Cf alle bekannten Californium-Isotope]</v>
      </c>
    </row>
    <row r="510" spans="1:14" ht="15.95" customHeight="1">
      <c r="A510">
        <v>99</v>
      </c>
      <c r="B510" s="23" t="s">
        <v>419</v>
      </c>
      <c r="C510" s="17">
        <v>0</v>
      </c>
      <c r="D510" t="s">
        <v>420</v>
      </c>
      <c r="E510" t="s">
        <v>981</v>
      </c>
      <c r="N510" t="str">
        <f>CONCATENATE("=== [[",D510,"]] ===&lt;br&gt;{| {{tabelle}}&lt;br&gt;! Isotop !! ",$D$1," !! [[",$E$1,"]] !! ",$F$1," &lt;br&gt; |-")</f>
        <v>=== [[Einsteinium]] ===&lt;br&gt;{| {{tabelle}}&lt;br&gt;! Isotop !! natürliche Häufigkeit !! [[Halbwertszeit]] !! Herkunft, techn. Bedeutung &lt;br&gt; |-</v>
      </c>
    </row>
    <row r="511" spans="1:14" ht="15.95" customHeight="1">
      <c r="A511">
        <v>99</v>
      </c>
      <c r="B511" s="23" t="s">
        <v>419</v>
      </c>
      <c r="C511">
        <v>999</v>
      </c>
      <c r="D511" t="s">
        <v>420</v>
      </c>
      <c r="E511" t="s">
        <v>981</v>
      </c>
      <c r="N511" t="str">
        <f>CONCATENATE(" |}&lt;br&gt;* [http://atom.kaeri.re.kr/cgi-bin/nuclide?nuc=",B511," alle bekannten ",D511,"-Isotope]")</f>
        <v xml:space="preserve"> |}&lt;br&gt;* [http://atom.kaeri.re.kr/cgi-bin/nuclide?nuc=Es alle bekannten Einsteinium-Isotope]</v>
      </c>
    </row>
    <row r="512" spans="1:14" ht="15.95" customHeight="1">
      <c r="A512">
        <v>100</v>
      </c>
      <c r="B512" s="23" t="s">
        <v>421</v>
      </c>
      <c r="C512" s="17">
        <v>0</v>
      </c>
      <c r="D512" t="s">
        <v>422</v>
      </c>
      <c r="E512" t="s">
        <v>981</v>
      </c>
      <c r="N512" t="str">
        <f>CONCATENATE("=== [[",D512,"]] ===&lt;br&gt;{| {{tabelle}}&lt;br&gt;! Isotop !! ",$D$1," !! [[",$E$1,"]] !! ",$F$1," &lt;br&gt; |-")</f>
        <v>=== [[Fermium]] ===&lt;br&gt;{| {{tabelle}}&lt;br&gt;! Isotop !! natürliche Häufigkeit !! [[Halbwertszeit]] !! Herkunft, techn. Bedeutung &lt;br&gt; |-</v>
      </c>
    </row>
    <row r="513" spans="1:14" ht="15.95" customHeight="1">
      <c r="A513">
        <v>100</v>
      </c>
      <c r="B513" s="23" t="s">
        <v>421</v>
      </c>
      <c r="C513">
        <v>999</v>
      </c>
      <c r="D513" t="s">
        <v>422</v>
      </c>
      <c r="E513" t="s">
        <v>981</v>
      </c>
      <c r="N513" t="str">
        <f>CONCATENATE(" |}&lt;br&gt;* [http://atom.kaeri.re.kr/cgi-bin/nuclide?nuc=",B513," alle bekannten ",D513,"-Isotope]")</f>
        <v xml:space="preserve"> |}&lt;br&gt;* [http://atom.kaeri.re.kr/cgi-bin/nuclide?nuc=Fm alle bekannten Fermium-Isotope]</v>
      </c>
    </row>
    <row r="514" spans="1:14" ht="15.95" customHeight="1">
      <c r="A514">
        <v>101</v>
      </c>
      <c r="B514" s="23" t="s">
        <v>423</v>
      </c>
      <c r="C514" s="17">
        <v>0</v>
      </c>
      <c r="D514" t="s">
        <v>424</v>
      </c>
      <c r="E514" t="s">
        <v>981</v>
      </c>
      <c r="N514" t="str">
        <f>CONCATENATE("=== [[",D514,"]] ===&lt;br&gt;{| {{tabelle}}&lt;br&gt;! Isotop !! ",$D$1," !! [[",$E$1,"]] !! ",$F$1," &lt;br&gt; |-")</f>
        <v>=== [[Mendelevium]] ===&lt;br&gt;{| {{tabelle}}&lt;br&gt;! Isotop !! natürliche Häufigkeit !! [[Halbwertszeit]] !! Herkunft, techn. Bedeutung &lt;br&gt; |-</v>
      </c>
    </row>
    <row r="515" spans="1:14" ht="15.95" customHeight="1">
      <c r="A515">
        <v>101</v>
      </c>
      <c r="B515" s="23" t="s">
        <v>423</v>
      </c>
      <c r="C515">
        <v>999</v>
      </c>
      <c r="D515" t="s">
        <v>424</v>
      </c>
      <c r="E515" t="s">
        <v>981</v>
      </c>
      <c r="N515" t="str">
        <f>CONCATENATE(" |}&lt;br&gt;* [http://atom.kaeri.re.kr/cgi-bin/nuclide?nuc=",B515," alle bekannten ",D515,"-Isotope]")</f>
        <v xml:space="preserve"> |}&lt;br&gt;* [http://atom.kaeri.re.kr/cgi-bin/nuclide?nuc=Md alle bekannten Mendelevium-Isotope]</v>
      </c>
    </row>
    <row r="516" spans="1:14" ht="15.95" customHeight="1">
      <c r="A516">
        <v>102</v>
      </c>
      <c r="B516" s="23" t="s">
        <v>425</v>
      </c>
      <c r="C516" s="17">
        <v>0</v>
      </c>
      <c r="D516" t="s">
        <v>426</v>
      </c>
      <c r="E516" t="s">
        <v>981</v>
      </c>
      <c r="N516" t="str">
        <f>CONCATENATE("=== [[",D516,"]] ===&lt;br&gt;{| {{tabelle}}&lt;br&gt;! Isotop !! ",$D$1," !! [[",$E$1,"]] !! ",$F$1," &lt;br&gt; |-")</f>
        <v>=== [[Nobelium]] ===&lt;br&gt;{| {{tabelle}}&lt;br&gt;! Isotop !! natürliche Häufigkeit !! [[Halbwertszeit]] !! Herkunft, techn. Bedeutung &lt;br&gt; |-</v>
      </c>
    </row>
    <row r="517" spans="1:14" ht="15.95" customHeight="1">
      <c r="A517">
        <v>102</v>
      </c>
      <c r="B517" s="23" t="s">
        <v>425</v>
      </c>
      <c r="C517">
        <v>999</v>
      </c>
      <c r="D517" t="s">
        <v>426</v>
      </c>
      <c r="E517" t="s">
        <v>981</v>
      </c>
      <c r="N517" t="str">
        <f>CONCATENATE(" |}&lt;br&gt;* [http://atom.kaeri.re.kr/cgi-bin/nuclide?nuc=",B517," alle bekannten ",D517,"-Isotope]")</f>
        <v xml:space="preserve"> |}&lt;br&gt;* [http://atom.kaeri.re.kr/cgi-bin/nuclide?nuc=No alle bekannten Nobelium-Isotope]</v>
      </c>
    </row>
    <row r="518" spans="1:14" ht="15.95" customHeight="1">
      <c r="A518">
        <v>103</v>
      </c>
      <c r="B518" s="23" t="s">
        <v>575</v>
      </c>
      <c r="C518" s="17">
        <v>0</v>
      </c>
      <c r="D518" t="s">
        <v>428</v>
      </c>
      <c r="E518" t="s">
        <v>981</v>
      </c>
      <c r="N518" t="str">
        <f>CONCATENATE("=== [[",D518,"]] ===&lt;br&gt;{| {{tabelle}}&lt;br&gt;! Isotop !! ",$D$1," !! [[",$E$1,"]] !! ",$F$1," &lt;br&gt; |-")</f>
        <v>=== [[Lawrencium]] ===&lt;br&gt;{| {{tabelle}}&lt;br&gt;! Isotop !! natürliche Häufigkeit !! [[Halbwertszeit]] !! Herkunft, techn. Bedeutung &lt;br&gt; |-</v>
      </c>
    </row>
    <row r="519" spans="1:14" ht="15.95" customHeight="1">
      <c r="A519">
        <v>103</v>
      </c>
      <c r="B519" s="23" t="s">
        <v>575</v>
      </c>
      <c r="C519">
        <v>999</v>
      </c>
      <c r="D519" t="s">
        <v>428</v>
      </c>
      <c r="E519" t="s">
        <v>981</v>
      </c>
      <c r="N519" t="str">
        <f>CONCATENATE(" |}&lt;br&gt;* [http://atom.kaeri.re.kr/cgi-bin/nuclide?nuc=",B519," alle bekannten ",D519,"-Isotope]")</f>
        <v xml:space="preserve"> |}&lt;br&gt;* [http://atom.kaeri.re.kr/cgi-bin/nuclide?nuc=Lr alle bekannten Lawrencium-Isotope]</v>
      </c>
    </row>
    <row r="520" spans="1:14" ht="15.95" customHeight="1">
      <c r="A520">
        <v>104</v>
      </c>
      <c r="B520" s="23" t="s">
        <v>429</v>
      </c>
      <c r="C520" s="17">
        <v>0</v>
      </c>
      <c r="D520" t="s">
        <v>430</v>
      </c>
      <c r="E520" t="s">
        <v>981</v>
      </c>
      <c r="N520" t="str">
        <f>CONCATENATE("=== [[",D520,"]] ===&lt;br&gt;{| {{tabelle}}&lt;br&gt;! Isotop !! ",$D$1," !! [[",$E$1,"]] !! ",$F$1," &lt;br&gt; |-")</f>
        <v>=== [[Rutherfordium]] ===&lt;br&gt;{| {{tabelle}}&lt;br&gt;! Isotop !! natürliche Häufigkeit !! [[Halbwertszeit]] !! Herkunft, techn. Bedeutung &lt;br&gt; |-</v>
      </c>
    </row>
    <row r="521" spans="1:14" ht="15.95" customHeight="1">
      <c r="A521">
        <v>104</v>
      </c>
      <c r="B521" s="23" t="s">
        <v>429</v>
      </c>
      <c r="C521">
        <v>999</v>
      </c>
      <c r="D521" t="s">
        <v>430</v>
      </c>
      <c r="E521" t="s">
        <v>981</v>
      </c>
      <c r="N521" t="str">
        <f>CONCATENATE(" |}&lt;br&gt;* [http://atom.kaeri.re.kr/cgi-bin/nuclide?nuc=",B521," alle bekannten ",D521,"-Isotope]")</f>
        <v xml:space="preserve"> |}&lt;br&gt;* [http://atom.kaeri.re.kr/cgi-bin/nuclide?nuc=Rf alle bekannten Rutherfordium-Isotope]</v>
      </c>
    </row>
    <row r="522" spans="1:14" ht="15.95" customHeight="1">
      <c r="A522">
        <v>105</v>
      </c>
      <c r="B522" s="23" t="s">
        <v>432</v>
      </c>
      <c r="C522" s="17">
        <v>0</v>
      </c>
      <c r="D522" t="s">
        <v>576</v>
      </c>
      <c r="E522" t="s">
        <v>981</v>
      </c>
      <c r="N522" t="str">
        <f>CONCATENATE("=== [[",D522,"]] ===&lt;br&gt;{| {{tabelle}}&lt;br&gt;! Isotop !! ",$D$1," !! [[",$E$1,"]] !! ",$F$1," &lt;br&gt; |-")</f>
        <v>=== [[Dubnium]] ===&lt;br&gt;{| {{tabelle}}&lt;br&gt;! Isotop !! natürliche Häufigkeit !! [[Halbwertszeit]] !! Herkunft, techn. Bedeutung &lt;br&gt; |-</v>
      </c>
    </row>
    <row r="523" spans="1:14" ht="15.95" customHeight="1">
      <c r="A523">
        <v>105</v>
      </c>
      <c r="B523" s="23" t="s">
        <v>432</v>
      </c>
      <c r="C523">
        <v>999</v>
      </c>
      <c r="D523" t="s">
        <v>576</v>
      </c>
      <c r="E523" t="s">
        <v>981</v>
      </c>
      <c r="N523" t="str">
        <f>CONCATENATE(" |}&lt;br&gt;* [http://atom.kaeri.re.kr/cgi-bin/nuclide?nuc=",B523," alle bekannten ",D523,"-Isotope]")</f>
        <v xml:space="preserve"> |}&lt;br&gt;* [http://atom.kaeri.re.kr/cgi-bin/nuclide?nuc=Db alle bekannten Dubnium-Isotope]</v>
      </c>
    </row>
    <row r="524" spans="1:14" ht="15.95" customHeight="1">
      <c r="A524">
        <v>106</v>
      </c>
      <c r="B524" s="23" t="s">
        <v>433</v>
      </c>
      <c r="C524" s="17">
        <v>0</v>
      </c>
      <c r="D524" t="s">
        <v>434</v>
      </c>
      <c r="E524" t="s">
        <v>981</v>
      </c>
      <c r="N524" t="str">
        <f>CONCATENATE("=== [[",D524,"]] ===&lt;br&gt;{| {{tabelle}}&lt;br&gt;! Isotop !! ",$D$1," !! [[",$E$1,"]] !! ",$F$1," &lt;br&gt; |-")</f>
        <v>=== [[Seaborgium]] ===&lt;br&gt;{| {{tabelle}}&lt;br&gt;! Isotop !! natürliche Häufigkeit !! [[Halbwertszeit]] !! Herkunft, techn. Bedeutung &lt;br&gt; |-</v>
      </c>
    </row>
    <row r="525" spans="1:14" ht="15.95" customHeight="1">
      <c r="A525">
        <v>106</v>
      </c>
      <c r="B525" s="23" t="s">
        <v>433</v>
      </c>
      <c r="C525">
        <v>999</v>
      </c>
      <c r="D525" t="s">
        <v>434</v>
      </c>
      <c r="E525" t="s">
        <v>981</v>
      </c>
      <c r="N525" t="str">
        <f>CONCATENATE(" |}&lt;br&gt;* [http://atom.kaeri.re.kr/cgi-bin/nuclide?nuc=",B525," alle bekannten ",D525,"-Isotope]")</f>
        <v xml:space="preserve"> |}&lt;br&gt;* [http://atom.kaeri.re.kr/cgi-bin/nuclide?nuc=Sg alle bekannten Seaborgium-Isotope]</v>
      </c>
    </row>
    <row r="526" spans="1:14" ht="15.95" customHeight="1">
      <c r="A526">
        <v>107</v>
      </c>
      <c r="B526" s="23" t="s">
        <v>435</v>
      </c>
      <c r="C526" s="17">
        <v>0</v>
      </c>
      <c r="D526" t="s">
        <v>577</v>
      </c>
      <c r="E526" t="s">
        <v>981</v>
      </c>
      <c r="N526" t="str">
        <f>CONCATENATE("=== [[",D526,"]] ===&lt;br&gt;{| {{tabelle}}&lt;br&gt;! Isotop !! ",$D$1," !! [[",$E$1,"]] !! ",$F$1," &lt;br&gt; |-")</f>
        <v>=== [[Bohrium]] ===&lt;br&gt;{| {{tabelle}}&lt;br&gt;! Isotop !! natürliche Häufigkeit !! [[Halbwertszeit]] !! Herkunft, techn. Bedeutung &lt;br&gt; |-</v>
      </c>
    </row>
    <row r="527" spans="1:14" ht="15.95" customHeight="1">
      <c r="A527">
        <v>107</v>
      </c>
      <c r="B527" s="23" t="s">
        <v>435</v>
      </c>
      <c r="C527">
        <v>999</v>
      </c>
      <c r="D527" t="s">
        <v>577</v>
      </c>
      <c r="E527" t="s">
        <v>981</v>
      </c>
      <c r="N527" t="str">
        <f>CONCATENATE(" |}&lt;br&gt;* [http://atom.kaeri.re.kr/cgi-bin/nuclide?nuc=",B527," alle bekannten ",D527,"-Isotope]")</f>
        <v xml:space="preserve"> |}&lt;br&gt;* [http://atom.kaeri.re.kr/cgi-bin/nuclide?nuc=Bh alle bekannten Bohrium-Isotope]</v>
      </c>
    </row>
    <row r="528" spans="1:14" ht="15.95" customHeight="1">
      <c r="A528">
        <v>108</v>
      </c>
      <c r="B528" s="23" t="s">
        <v>436</v>
      </c>
      <c r="C528" s="17">
        <v>0</v>
      </c>
      <c r="D528" t="s">
        <v>578</v>
      </c>
      <c r="E528" t="s">
        <v>981</v>
      </c>
      <c r="N528" t="str">
        <f>CONCATENATE("=== [[",D528,"]] ===&lt;br&gt;{| {{tabelle}}&lt;br&gt;! Isotop !! ",$D$1," !! [[",$E$1,"]] !! ",$F$1," &lt;br&gt; |-")</f>
        <v>=== [[Hassium]] ===&lt;br&gt;{| {{tabelle}}&lt;br&gt;! Isotop !! natürliche Häufigkeit !! [[Halbwertszeit]] !! Herkunft, techn. Bedeutung &lt;br&gt; |-</v>
      </c>
    </row>
    <row r="529" spans="1:14" ht="15.95" customHeight="1">
      <c r="A529">
        <v>108</v>
      </c>
      <c r="B529" s="23" t="s">
        <v>436</v>
      </c>
      <c r="C529">
        <v>999</v>
      </c>
      <c r="D529" t="s">
        <v>578</v>
      </c>
      <c r="E529" t="s">
        <v>981</v>
      </c>
      <c r="N529" t="str">
        <f>CONCATENATE(" |}&lt;br&gt;* [http://atom.kaeri.re.kr/cgi-bin/nuclide?nuc=",B529," alle bekannten ",D529,"-Isotope]")</f>
        <v xml:space="preserve"> |}&lt;br&gt;* [http://atom.kaeri.re.kr/cgi-bin/nuclide?nuc=Hs alle bekannten Hassium-Isotope]</v>
      </c>
    </row>
    <row r="530" spans="1:14" ht="15.95" customHeight="1">
      <c r="A530">
        <v>109</v>
      </c>
      <c r="B530" s="23" t="s">
        <v>437</v>
      </c>
      <c r="C530" s="17">
        <v>0</v>
      </c>
      <c r="D530" t="s">
        <v>579</v>
      </c>
      <c r="E530" t="s">
        <v>981</v>
      </c>
      <c r="N530" t="str">
        <f>CONCATENATE("=== [[",D530,"]] ===&lt;br&gt;{| {{tabelle}}&lt;br&gt;! Isotop !! ",$D$1," !! [[",$E$1,"]] !! ",$F$1," &lt;br&gt; |-")</f>
        <v>=== [[Meitnerium]] ===&lt;br&gt;{| {{tabelle}}&lt;br&gt;! Isotop !! natürliche Häufigkeit !! [[Halbwertszeit]] !! Herkunft, techn. Bedeutung &lt;br&gt; |-</v>
      </c>
    </row>
    <row r="531" spans="1:14" ht="15.95" customHeight="1">
      <c r="A531">
        <v>109</v>
      </c>
      <c r="B531" s="23" t="s">
        <v>437</v>
      </c>
      <c r="C531">
        <v>999</v>
      </c>
      <c r="D531" t="s">
        <v>579</v>
      </c>
      <c r="E531" t="s">
        <v>981</v>
      </c>
      <c r="N531" t="str">
        <f>CONCATENATE(" |}&lt;br&gt;* [http://atom.kaeri.re.kr/cgi-bin/nuclide?nuc=",B531," alle bekannten ",D531,"-Isotope]")</f>
        <v xml:space="preserve"> |}&lt;br&gt;* [http://atom.kaeri.re.kr/cgi-bin/nuclide?nuc=Mt alle bekannten Meitnerium-Isotope]</v>
      </c>
    </row>
    <row r="532" spans="1:14" ht="15.95" customHeight="1">
      <c r="A532">
        <v>110</v>
      </c>
      <c r="B532" s="23" t="s">
        <v>580</v>
      </c>
      <c r="C532" s="17">
        <v>0</v>
      </c>
      <c r="D532" t="s">
        <v>581</v>
      </c>
      <c r="E532" t="s">
        <v>981</v>
      </c>
      <c r="N532" t="str">
        <f>CONCATENATE("=== [[",D532,"]] ===&lt;br&gt;{| {{tabelle}}&lt;br&gt;! Isotop !! ",$D$1," !! [[",$E$1,"]] !! ",$F$1," &lt;br&gt; |-")</f>
        <v>=== [[Darmstadtium]] ===&lt;br&gt;{| {{tabelle}}&lt;br&gt;! Isotop !! natürliche Häufigkeit !! [[Halbwertszeit]] !! Herkunft, techn. Bedeutung &lt;br&gt; |-</v>
      </c>
    </row>
    <row r="533" spans="1:14" ht="15.95" customHeight="1">
      <c r="A533">
        <v>110</v>
      </c>
      <c r="B533" s="23" t="s">
        <v>580</v>
      </c>
      <c r="C533">
        <v>999</v>
      </c>
      <c r="D533" t="s">
        <v>581</v>
      </c>
      <c r="E533" t="s">
        <v>981</v>
      </c>
      <c r="N533" t="str">
        <f>CONCATENATE(" |}&lt;br&gt;* [http://atom.kaeri.re.kr/cgi-bin/nuclide?nuc=",B533," alle bekannten ",D533,"-Isotope]")</f>
        <v xml:space="preserve"> |}&lt;br&gt;* [http://atom.kaeri.re.kr/cgi-bin/nuclide?nuc=Ds alle bekannten Darmstadtium-Isotope]</v>
      </c>
    </row>
    <row r="534" spans="1:14" ht="15.95" customHeight="1">
      <c r="A534">
        <v>111</v>
      </c>
      <c r="B534" s="23" t="s">
        <v>583</v>
      </c>
      <c r="C534" s="17">
        <v>0</v>
      </c>
      <c r="D534" t="s">
        <v>582</v>
      </c>
      <c r="E534" t="s">
        <v>981</v>
      </c>
      <c r="N534" t="str">
        <f>CONCATENATE("=== [[",D534,"]] ===&lt;br&gt;{| {{tabelle}}&lt;br&gt;! Isotop !! ",$D$1," !! [[",$E$1,"]] !! ",$F$1," &lt;br&gt; |-")</f>
        <v>=== [[Roentgenium]] ===&lt;br&gt;{| {{tabelle}}&lt;br&gt;! Isotop !! natürliche Häufigkeit !! [[Halbwertszeit]] !! Herkunft, techn. Bedeutung &lt;br&gt; |-</v>
      </c>
    </row>
    <row r="535" spans="1:14" ht="15.95" customHeight="1">
      <c r="A535">
        <v>111</v>
      </c>
      <c r="B535" s="23" t="s">
        <v>583</v>
      </c>
      <c r="C535">
        <v>999</v>
      </c>
      <c r="D535" t="s">
        <v>582</v>
      </c>
      <c r="E535" t="s">
        <v>981</v>
      </c>
      <c r="N535" t="str">
        <f>CONCATENATE(" |}&lt;br&gt;* [http://atom.kaeri.re.kr/cgi-bin/nuclide?nuc=",B535," alle bekannten ",D535,"-Isotope]")</f>
        <v xml:space="preserve"> |}&lt;br&gt;* [http://atom.kaeri.re.kr/cgi-bin/nuclide?nuc=Rg alle bekannten Roentgenium-Isotope]</v>
      </c>
    </row>
    <row r="536" spans="1:14" ht="15.95" customHeight="1">
      <c r="A536">
        <v>112</v>
      </c>
      <c r="B536" s="23" t="s">
        <v>438</v>
      </c>
      <c r="C536" s="17">
        <v>0</v>
      </c>
      <c r="D536" t="s">
        <v>584</v>
      </c>
      <c r="E536" t="s">
        <v>981</v>
      </c>
      <c r="N536" t="str">
        <f>CONCATENATE("=== [[",D536,"]] ===&lt;br&gt;{| {{tabelle}}&lt;br&gt;! Isotop !! ",$D$1," !! [[",$E$1,"]] !! ",$F$1," &lt;br&gt; |-")</f>
        <v>=== [[Ununbium]] ===&lt;br&gt;{| {{tabelle}}&lt;br&gt;! Isotop !! natürliche Häufigkeit !! [[Halbwertszeit]] !! Herkunft, techn. Bedeutung &lt;br&gt; |-</v>
      </c>
    </row>
    <row r="537" spans="1:14" ht="15.95" customHeight="1">
      <c r="A537">
        <v>112</v>
      </c>
      <c r="B537" s="23" t="s">
        <v>438</v>
      </c>
      <c r="C537">
        <v>999</v>
      </c>
      <c r="D537" t="s">
        <v>584</v>
      </c>
      <c r="E537" t="s">
        <v>981</v>
      </c>
      <c r="N537" t="str">
        <f>CONCATENATE(" |}&lt;br&gt;* [http://atom.kaeri.re.kr/cgi-bin/nuclide?nuc=",B537," alle bekannten ",D537,"-Isotope]")</f>
        <v xml:space="preserve"> |}&lt;br&gt;* [http://atom.kaeri.re.kr/cgi-bin/nuclide?nuc=Uub alle bekannten Ununbium-Isotope]</v>
      </c>
    </row>
    <row r="538" spans="1:14" ht="15.95" customHeight="1">
      <c r="A538">
        <v>113</v>
      </c>
      <c r="B538" s="23" t="s">
        <v>585</v>
      </c>
      <c r="C538" s="17">
        <v>0</v>
      </c>
      <c r="D538" t="s">
        <v>586</v>
      </c>
      <c r="E538" t="s">
        <v>981</v>
      </c>
      <c r="N538" t="str">
        <f>CONCATENATE("=== [[",D538,"]] ===&lt;br&gt;{| {{tabelle}}&lt;br&gt;! Isotop !! ",$D$1," !! [[",$E$1,"]] !! ",$F$1," &lt;br&gt; |-")</f>
        <v>=== [[Ununtrium ]] ===&lt;br&gt;{| {{tabelle}}&lt;br&gt;! Isotop !! natürliche Häufigkeit !! [[Halbwertszeit]] !! Herkunft, techn. Bedeutung &lt;br&gt; |-</v>
      </c>
    </row>
    <row r="539" spans="1:14" ht="15.95" customHeight="1">
      <c r="A539">
        <v>113</v>
      </c>
      <c r="B539" s="23" t="s">
        <v>585</v>
      </c>
      <c r="C539">
        <v>999</v>
      </c>
      <c r="D539" t="s">
        <v>586</v>
      </c>
      <c r="E539" t="s">
        <v>981</v>
      </c>
      <c r="N539" t="str">
        <f>CONCATENATE(" |}&lt;br&gt;* [http://atom.kaeri.re.kr/cgi-bin/nuclide?nuc=",B539," alle bekannten ",D539,"-Isotope]")</f>
        <v xml:space="preserve"> |}&lt;br&gt;* [http://atom.kaeri.re.kr/cgi-bin/nuclide?nuc=Uut alle bekannten Ununtrium -Isotope]</v>
      </c>
    </row>
    <row r="540" spans="1:14" ht="15.95" customHeight="1">
      <c r="A540">
        <v>114</v>
      </c>
      <c r="B540" s="23" t="s">
        <v>589</v>
      </c>
      <c r="C540" s="17">
        <v>0</v>
      </c>
      <c r="D540" t="s">
        <v>587</v>
      </c>
      <c r="E540" t="s">
        <v>981</v>
      </c>
      <c r="N540" t="str">
        <f>CONCATENATE("=== [[",D540,"]] ===&lt;br&gt;{| {{tabelle}}&lt;br&gt;! Isotop !! ",$D$1," !! [[",$E$1,"]] !! ",$F$1," &lt;br&gt; |-")</f>
        <v>=== [[Ununquadium]] ===&lt;br&gt;{| {{tabelle}}&lt;br&gt;! Isotop !! natürliche Häufigkeit !! [[Halbwertszeit]] !! Herkunft, techn. Bedeutung &lt;br&gt; |-</v>
      </c>
    </row>
    <row r="541" spans="1:14" ht="15.95" customHeight="1">
      <c r="A541">
        <v>114</v>
      </c>
      <c r="B541" s="23" t="s">
        <v>589</v>
      </c>
      <c r="C541">
        <v>999</v>
      </c>
      <c r="D541" t="s">
        <v>587</v>
      </c>
      <c r="E541" t="s">
        <v>981</v>
      </c>
      <c r="N541" t="str">
        <f>CONCATENATE(" |}&lt;br&gt;* [http://atom.kaeri.re.kr/cgi-bin/nuclide?nuc=",B541," alle bekannten ",D541,"-Isotope]")</f>
        <v xml:space="preserve"> |}&lt;br&gt;* [http://atom.kaeri.re.kr/cgi-bin/nuclide?nuc=Uuq alle bekannten Ununquadium-Isotope]</v>
      </c>
    </row>
    <row r="542" spans="1:14" ht="15.95" customHeight="1">
      <c r="A542">
        <v>115</v>
      </c>
      <c r="B542" s="23" t="s">
        <v>590</v>
      </c>
      <c r="C542" s="17">
        <v>0</v>
      </c>
      <c r="D542" t="s">
        <v>593</v>
      </c>
      <c r="E542" t="s">
        <v>981</v>
      </c>
      <c r="N542" t="str">
        <f>CONCATENATE("=== [[",D542,"]] ===&lt;br&gt;{| {{tabelle}}&lt;br&gt;! Isotop !! ",$D$1," !! [[",$E$1,"]] !! ",$F$1," &lt;br&gt; |-")</f>
        <v>=== [[Ununpentium]] ===&lt;br&gt;{| {{tabelle}}&lt;br&gt;! Isotop !! natürliche Häufigkeit !! [[Halbwertszeit]] !! Herkunft, techn. Bedeutung &lt;br&gt; |-</v>
      </c>
    </row>
    <row r="543" spans="1:14" ht="15.95" customHeight="1">
      <c r="A543">
        <v>115</v>
      </c>
      <c r="B543" s="23" t="s">
        <v>590</v>
      </c>
      <c r="C543">
        <v>999</v>
      </c>
      <c r="D543" t="s">
        <v>593</v>
      </c>
      <c r="E543" t="s">
        <v>981</v>
      </c>
      <c r="N543" t="str">
        <f>CONCATENATE(" |}&lt;br&gt;* [http://atom.kaeri.re.kr/cgi-bin/nuclide?nuc=",B543," alle bekannten ",D543,"-Isotope]")</f>
        <v xml:space="preserve"> |}&lt;br&gt;* [http://atom.kaeri.re.kr/cgi-bin/nuclide?nuc=Uup alle bekannten Ununpentium-Isotope]</v>
      </c>
    </row>
    <row r="544" spans="1:14" ht="15.95" customHeight="1">
      <c r="A544">
        <v>116</v>
      </c>
      <c r="B544" s="23" t="s">
        <v>591</v>
      </c>
      <c r="C544" s="17">
        <v>0</v>
      </c>
      <c r="D544" t="s">
        <v>588</v>
      </c>
      <c r="E544" t="s">
        <v>981</v>
      </c>
      <c r="N544" t="str">
        <f>CONCATENATE("=== [[",D544,"]] ===&lt;br&gt;{| {{tabelle}}&lt;br&gt;! Isotop !! ",$D$1," !! [[",$E$1,"]] !! ",$F$1," &lt;br&gt; |-")</f>
        <v>=== [[Ununhexium]] ===&lt;br&gt;{| {{tabelle}}&lt;br&gt;! Isotop !! natürliche Häufigkeit !! [[Halbwertszeit]] !! Herkunft, techn. Bedeutung &lt;br&gt; |-</v>
      </c>
    </row>
    <row r="545" spans="1:14" ht="15.95" customHeight="1">
      <c r="A545">
        <v>116</v>
      </c>
      <c r="B545" s="23" t="s">
        <v>591</v>
      </c>
      <c r="C545">
        <v>999</v>
      </c>
      <c r="D545" t="s">
        <v>588</v>
      </c>
      <c r="E545" t="s">
        <v>981</v>
      </c>
      <c r="N545" t="str">
        <f>CONCATENATE(" |}&lt;br&gt;* [http://atom.kaeri.re.kr/cgi-bin/nuclide?nuc=",B545," alle bekannten ",D545,"-Isotope]")</f>
        <v xml:space="preserve"> |}&lt;br&gt;* [http://atom.kaeri.re.kr/cgi-bin/nuclide?nuc=Uuh alle bekannten Ununhexium-Isotope]</v>
      </c>
    </row>
    <row r="546" spans="1:14" ht="15.95" customHeight="1">
      <c r="A546">
        <v>117</v>
      </c>
      <c r="B546" s="23" t="s">
        <v>595</v>
      </c>
      <c r="C546" s="17">
        <v>0</v>
      </c>
      <c r="D546" t="s">
        <v>594</v>
      </c>
      <c r="E546" t="s">
        <v>981</v>
      </c>
      <c r="N546" t="str">
        <f>CONCATENATE("=== [[",D546,"]] ===&lt;br&gt;{| {{tabelle}}&lt;br&gt;! Isotop !! ",$D$1," !! [[",$E$1,"]] !! ",$F$1," &lt;br&gt; |-")</f>
        <v>=== [[Ununseptium]] ===&lt;br&gt;{| {{tabelle}}&lt;br&gt;! Isotop !! natürliche Häufigkeit !! [[Halbwertszeit]] !! Herkunft, techn. Bedeutung &lt;br&gt; |-</v>
      </c>
    </row>
    <row r="547" spans="1:14" ht="15.95" customHeight="1">
      <c r="A547">
        <v>117</v>
      </c>
      <c r="B547" s="23" t="s">
        <v>595</v>
      </c>
      <c r="C547">
        <v>999</v>
      </c>
      <c r="D547" t="s">
        <v>594</v>
      </c>
      <c r="E547" t="s">
        <v>981</v>
      </c>
      <c r="N547" t="str">
        <f>CONCATENATE(" |}&lt;br&gt;* [http://atom.kaeri.re.kr/cgi-bin/nuclide?nuc=",B547," alle bekannten ",D547,"-Isotope]")</f>
        <v xml:space="preserve"> |}&lt;br&gt;* [http://atom.kaeri.re.kr/cgi-bin/nuclide?nuc=Uus alle bekannten Ununseptium-Isotope]</v>
      </c>
    </row>
    <row r="548" spans="1:14" ht="15.95" customHeight="1">
      <c r="A548">
        <v>118</v>
      </c>
      <c r="B548" s="23" t="s">
        <v>596</v>
      </c>
      <c r="C548" s="17">
        <v>0</v>
      </c>
      <c r="D548" t="s">
        <v>592</v>
      </c>
      <c r="E548" t="s">
        <v>981</v>
      </c>
      <c r="N548" t="str">
        <f>CONCATENATE("=== [[",D548,"]] ===&lt;br&gt;{| {{tabelle}}&lt;br&gt;! Isotop !! ",$D$1," !! [[",$E$1,"]] !! ",$F$1," &lt;br&gt; |-")</f>
        <v>=== [[Ununoctium]] ===&lt;br&gt;{| {{tabelle}}&lt;br&gt;! Isotop !! natürliche Häufigkeit !! [[Halbwertszeit]] !! Herkunft, techn. Bedeutung &lt;br&gt; |-</v>
      </c>
    </row>
    <row r="549" spans="1:14" ht="15.95" customHeight="1">
      <c r="A549">
        <v>118</v>
      </c>
      <c r="B549" s="23" t="s">
        <v>596</v>
      </c>
      <c r="C549">
        <v>999</v>
      </c>
      <c r="D549" t="s">
        <v>592</v>
      </c>
      <c r="E549" t="s">
        <v>981</v>
      </c>
      <c r="N549" t="str">
        <f>CONCATENATE(" |}&lt;br&gt;* [http://atom.kaeri.re.kr/cgi-bin/nuclide?nuc=",B549," alle bekannten ",D549,"-Isotope]")</f>
        <v xml:space="preserve"> |}&lt;br&gt;* [http://atom.kaeri.re.kr/cgi-bin/nuclide?nuc=Uuo alle bekannten Ununoctium-Isotope]</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PSE</vt:lpstr>
      <vt:lpstr>Tabelle1</vt:lpstr>
      <vt:lpstr>abc</vt:lpstr>
      <vt:lpstr>Isotope</vt:lpstr>
      <vt:lpstr>abc!Druckbereich</vt:lpstr>
      <vt:lpstr>abc!Print_Area</vt:lpstr>
      <vt:lpstr>Tabelle1!Print_Area</vt:lpstr>
      <vt:lpstr>PSE!TABLE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Periodensystem der Elemente</dc:title>
  <dc:creator>Giesler</dc:creator>
  <cp:lastModifiedBy>Detlef</cp:lastModifiedBy>
  <cp:lastPrinted>2015-10-17T20:13:21Z</cp:lastPrinted>
  <dcterms:created xsi:type="dcterms:W3CDTF">1999-10-10T22:32:49Z</dcterms:created>
  <dcterms:modified xsi:type="dcterms:W3CDTF">2015-10-17T20:29:47Z</dcterms:modified>
</cp:coreProperties>
</file>